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3Q6kZaY/5gv59t/QlL2aMmMZqkZ01diGEudtqVSBQ2iG13zAIFeWbyPFx4b1MxaF/jXoKyDsY9iEj1WMPz9RA==" workbookSaltValue="IwkU38FpImk5TNPu0QIq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Z13" i="17"/>
  <c r="N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F17" i="16" l="1"/>
  <c r="BL17" i="16" s="1"/>
  <c r="D18" i="12"/>
  <c r="AM19" i="8"/>
  <c r="AC19" i="8"/>
  <c r="AK19" i="8"/>
  <c r="AA19" i="8"/>
  <c r="AI19" i="8"/>
  <c r="BE12" i="8"/>
  <c r="BG12" i="8"/>
  <c r="K12" i="7" s="1"/>
  <c r="R19" i="8"/>
  <c r="T19" i="8"/>
  <c r="BG10" i="8"/>
  <c r="M13" i="2"/>
  <c r="H9" i="7"/>
  <c r="BU10" i="17"/>
  <c r="AZ11" i="11"/>
  <c r="BM17" i="11"/>
  <c r="L12" i="2"/>
  <c r="AA11" i="16"/>
  <c r="T17" i="11"/>
  <c r="BH9" i="16"/>
  <c r="BJ17" i="11"/>
  <c r="BH15" i="16"/>
  <c r="V11" i="16"/>
  <c r="BF16" i="11"/>
  <c r="BL12" i="11"/>
  <c r="X11" i="17"/>
  <c r="V17" i="16"/>
  <c r="V11" i="11"/>
  <c r="Q10" i="21"/>
  <c r="BI15" i="11"/>
  <c r="BJ12" i="11"/>
  <c r="BG15" i="11"/>
  <c r="BK17" i="11"/>
  <c r="T15" i="16"/>
  <c r="BV17" i="16"/>
  <c r="BV12" i="16"/>
  <c r="BV11" i="16"/>
  <c r="U10" i="17"/>
  <c r="V12"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W12" i="20"/>
  <c r="BW11" i="20"/>
  <c r="BW10" i="20"/>
  <c r="BU12" i="17"/>
  <c r="AZ16" i="11"/>
  <c r="Q17" i="17"/>
  <c r="BI9" i="11"/>
  <c r="T12" i="11"/>
  <c r="BH10" i="16"/>
  <c r="BH16" i="11"/>
  <c r="BJ16" i="11"/>
  <c r="AA16" i="16"/>
  <c r="F17" i="17"/>
  <c r="AQ17" i="17" s="1"/>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<sst xmlns="http://schemas.openxmlformats.org/spreadsheetml/2006/main" count="2094" uniqueCount="913">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</sst>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2yKgd8A3oC3U2ojfB7I0l3z+ZKc94zna2p6vjt+lvM4ZbJizC4CTniIeQuweelynuLREtv981OE7bi+yHnKcw==" saltValue="QK6xlZMHhCAU+iPajI+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63</v>
      </c>
      <c r="D10" s="228">
        <f>IF(ISNUMBER(Datos!I10),Datos!I10," - ")</f>
        <v>63</v>
      </c>
      <c r="E10" s="229">
        <f>IF(ISNUMBER(Datos!J10),Datos!J10," - ")</f>
        <v>33</v>
      </c>
      <c r="F10" s="229">
        <f>IF(ISNUMBER(Datos!K10),Datos!K10," - ")</f>
        <v>21</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0.19047619047619047</v>
      </c>
      <c r="L10" s="1028">
        <f>IF(ISNUMBER(NºAsuntos!I10/NºAsuntos!G10),(NºAsuntos!I10/NºAsuntos!G10)*11," - ")</f>
        <v>39.285714285714285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34.931260945709283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63</v>
      </c>
      <c r="D13" s="1052">
        <f>SUBTOTAL(9,D9:D12)</f>
        <v>63</v>
      </c>
      <c r="E13" s="1053">
        <f>SUBTOTAL(9,E9:E12)</f>
        <v>33</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2906</v>
      </c>
      <c r="D16" s="228">
        <f>IF(ISNUMBER(IF(D_I="SI",Datos!I16,Datos!I16+Datos!AC16)),IF(D_I="SI",Datos!I16,Datos!I16+Datos!AC16)," - ")</f>
        <v>2906</v>
      </c>
      <c r="E16" s="229">
        <f>IF(ISNUMBER(IF(D_I="SI",Datos!J16,Datos!J16+Datos!AD16)),IF(D_I="SI",Datos!J16,Datos!J16+Datos!AD16)," - ")</f>
        <v>2579</v>
      </c>
      <c r="F16" s="229">
        <f>IF(ISNUMBER(IF(D_I="SI",Datos!K16,Datos!K16+Datos!AE16)),IF(D_I="SI",Datos!K16,Datos!K16+Datos!AE16)," - ")</f>
        <v>2287</v>
      </c>
      <c r="G16" s="1037" t="str">
        <f>IF(Datos!E16&lt;&gt;"",Datos!E16,Datos!D16)</f>
        <v>04</v>
      </c>
      <c r="H16" s="230">
        <f>IF(ISNUMBER(IF(D_I="SI",Datos!L16,Datos!L16+Datos!AF16)),IF(D_I="SI",Datos!L16,Datos!L16+Datos!AF16)," - ")</f>
        <v>3198</v>
      </c>
      <c r="I16" s="1047" t="str">
        <f>IF(ISNUMBER(Datos!AS16/Datos!BM16),Datos!AS16/Datos!BM16," - ")</f>
        <v xml:space="preserve"> - </v>
      </c>
      <c r="J16" s="1048">
        <f>IF(ISNUMBER(Datos!BY16/Datos!CN16),Datos!BY16/Datos!CN16," - ")</f>
        <v>0</v>
      </c>
      <c r="K16" s="233">
        <f t="shared" si="3"/>
        <v>0.10048176187198898</v>
      </c>
      <c r="L16" s="1028">
        <f>IF(ISNUMBER(NºAsuntos!I16/NºAsuntos!G16),(NºAsuntos!I16/NºAsuntos!G16)*11," - ")</f>
        <v>15.381722780935723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225</v>
      </c>
      <c r="D17" s="228">
        <f>IF(ISNUMBER(IF(D_I="SI",Datos!I17,Datos!I17+Datos!AC17)),IF(D_I="SI",Datos!I17,Datos!I17+Datos!AC17)," - ")</f>
        <v>225</v>
      </c>
      <c r="E17" s="229">
        <f>IF(ISNUMBER(IF(D_I="SI",Datos!J17,Datos!J17+Datos!AD17)),IF(D_I="SI",Datos!J17,Datos!J17+Datos!AD17)," - ")</f>
        <v>246</v>
      </c>
      <c r="F17" s="229">
        <f>IF(ISNUMBER(IF(D_I="SI",Datos!K17,Datos!K17+Datos!AE17)),IF(D_I="SI",Datos!K17,Datos!K17+Datos!AE17)," - ")</f>
        <v>207</v>
      </c>
      <c r="G17" s="1037" t="str">
        <f>IF(Datos!E17&lt;&gt;"",Datos!E17,Datos!D17)</f>
        <v>37</v>
      </c>
      <c r="H17" s="230">
        <f>IF(ISNUMBER(IF(D_I="SI",Datos!L17,Datos!L17+Datos!AF17)),IF(D_I="SI",Datos!L17,Datos!L17+Datos!AF17)," - ")</f>
        <v>264</v>
      </c>
      <c r="I17" s="1047" t="str">
        <f>IF(ISNUMBER(Datos!AS17/Datos!BM17),Datos!AS17/Datos!BM17," - ")</f>
        <v xml:space="preserve"> - </v>
      </c>
      <c r="J17" s="1048" t="str">
        <f>IF(ISNUMBER((Datos!BY17+Datos!BZ17)/Datos!CN17),(Datos!BY17+Datos!BZ17)/Datos!CN17," - ")</f>
        <v xml:space="preserve"> - </v>
      </c>
      <c r="K17" s="233">
        <f t="shared" si="3"/>
        <v>0.17333333333333334</v>
      </c>
      <c r="L17" s="1028">
        <f>IF(ISNUMBER(NºAsuntos!I17/NºAsuntos!G17),(NºAsuntos!I17/NºAsuntos!G17)*11," - ")</f>
        <v>14.028985507246375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3131</v>
      </c>
      <c r="D18" s="1052">
        <f>SUBTOTAL(9,D15:D17)</f>
        <v>3131</v>
      </c>
      <c r="E18" s="1053">
        <f>SUBTOTAL(9,E15:E17)</f>
        <v>2825</v>
      </c>
      <c r="F18" s="1053">
        <f>SUBTOTAL(9,F15:F17)</f>
        <v>2494</v>
      </c>
      <c r="G18" s="1055" t="str">
        <f ca="1">INDIRECT(CONCATENATE("G",ROW()-1))</f>
        <v>37</v>
      </c>
      <c r="H18" s="1056">
        <f ca="1">SUMIF(G$14:G17,G18,H$14:H17)</f>
        <v>264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3194</v>
      </c>
      <c r="D19" s="1074">
        <f>SUBTOTAL(9,D9:D18)</f>
        <v>3194</v>
      </c>
      <c r="E19" s="1075">
        <f>SUBTOTAL(9,E9:E18)</f>
        <v>2858</v>
      </c>
      <c r="F19" s="1075">
        <f>SUBTOTAL(9,F9:F18)</f>
        <v>2515</v>
      </c>
      <c r="G19" s="1076"/>
      <c r="H19" s="1077">
        <f ca="1">SUMIF(B9:B18,"TOTAL",H9:H18)</f>
        <v>264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hgbGO0D27d/65tWhF+AkpfmY4c4mhCpKrHOQ00ztXLMhCUlhjWTHL6vXWcvbCncowpOsZ3Wgfacj0IO7i+kKQ==" saltValue="8vtvt8ik+H4C6N8HYQD1T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oq/hv4RMuoIYWpw2YkgARhgSFDAqqEbVQf2OnJQbIMrlDFU0p3lUJlnDAD5EeWaEXiI0nDnB0OeQSWla8T/kQ==" saltValue="VxRppoLEjqRbcOCWSUx9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63</v>
      </c>
      <c r="J10" s="184">
        <v>33</v>
      </c>
      <c r="K10" s="184">
        <v>21</v>
      </c>
      <c r="L10" s="184">
        <v>75</v>
      </c>
      <c r="M10" s="184">
        <v>8</v>
      </c>
      <c r="N10" s="184">
        <v>13</v>
      </c>
      <c r="O10" s="184">
        <v>11</v>
      </c>
      <c r="P10" s="184">
        <v>9</v>
      </c>
      <c r="Q10" s="184">
        <v>14</v>
      </c>
      <c r="R10" s="184">
        <v>94</v>
      </c>
      <c r="S10" s="184">
        <v>63</v>
      </c>
      <c r="T10" s="184">
        <v>20</v>
      </c>
      <c r="U10" s="184">
        <v>25</v>
      </c>
      <c r="V10" s="184">
        <v>58</v>
      </c>
      <c r="W10" s="184">
        <v>15</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63</v>
      </c>
      <c r="AZ10" s="129">
        <f t="shared" si="0"/>
        <v>20</v>
      </c>
      <c r="BA10" s="129">
        <f t="shared" si="0"/>
        <v>25</v>
      </c>
      <c r="BB10" s="129">
        <f t="shared" si="0"/>
        <v>58</v>
      </c>
      <c r="BC10" s="125">
        <f t="shared" si="0"/>
        <v>15</v>
      </c>
      <c r="BD10" s="126">
        <f>IF(ISNUMBER(BA10/AZ10),BA10/AZ10," - ")</f>
        <v>1.25</v>
      </c>
      <c r="BE10" s="127">
        <f>IF(ISNUMBER(BB10/BA10),BB10/BA10, " - ")</f>
        <v>2.3199999999999998</v>
      </c>
      <c r="BF10" s="127">
        <f>IF(ISNUMBER(BC10/BA10),BC10/BA10, " - ")</f>
        <v>0.6</v>
      </c>
      <c r="BG10" s="199">
        <f>IF(ISNUMBER((AY10+AZ10)/BA10),(AY10+AZ10)/BA10," - ")</f>
        <v>3.32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6827</v>
      </c>
      <c r="J12" s="186">
        <v>2411</v>
      </c>
      <c r="K12" s="186">
        <v>2117</v>
      </c>
      <c r="L12" s="186">
        <v>7120</v>
      </c>
      <c r="M12" s="186">
        <v>474</v>
      </c>
      <c r="N12" s="186">
        <v>806</v>
      </c>
      <c r="O12" s="184">
        <v>1209</v>
      </c>
      <c r="P12" s="186">
        <v>653</v>
      </c>
      <c r="Q12" s="186">
        <v>478</v>
      </c>
      <c r="R12" s="186">
        <v>9395</v>
      </c>
      <c r="S12" s="186">
        <v>5475</v>
      </c>
      <c r="T12" s="186">
        <v>2407</v>
      </c>
      <c r="U12" s="186">
        <v>1909</v>
      </c>
      <c r="V12" s="186">
        <v>5974</v>
      </c>
      <c r="W12" s="186">
        <v>393</v>
      </c>
      <c r="X12" s="192">
        <v>885</v>
      </c>
      <c r="Y12" s="194">
        <v>109</v>
      </c>
      <c r="Z12" s="184">
        <v>191</v>
      </c>
      <c r="AA12" s="184">
        <v>167</v>
      </c>
      <c r="AB12" s="184">
        <v>133</v>
      </c>
      <c r="AC12" s="186">
        <v>0</v>
      </c>
      <c r="AD12" s="186">
        <v>0</v>
      </c>
      <c r="AE12" s="186">
        <v>0</v>
      </c>
      <c r="AF12" s="192">
        <v>0</v>
      </c>
      <c r="AG12" s="205">
        <v>68</v>
      </c>
      <c r="AH12" s="186">
        <v>202</v>
      </c>
      <c r="AI12" s="186">
        <v>174</v>
      </c>
      <c r="AJ12" s="206">
        <v>96</v>
      </c>
      <c r="AK12" s="185">
        <v>0</v>
      </c>
      <c r="AL12" s="186">
        <v>0</v>
      </c>
      <c r="AM12" s="186">
        <v>0</v>
      </c>
      <c r="AN12" s="192">
        <v>0</v>
      </c>
      <c r="AO12" s="262">
        <v>8</v>
      </c>
      <c r="AP12" s="158">
        <v>8</v>
      </c>
      <c r="AQ12" s="158">
        <v>8</v>
      </c>
      <c r="AR12" s="157">
        <v>8</v>
      </c>
      <c r="AS12" s="343" t="s">
        <v>807</v>
      </c>
      <c r="AT12" s="206"/>
      <c r="AU12" s="205"/>
      <c r="AV12" s="206"/>
      <c r="AW12" s="205"/>
      <c r="AX12" s="206"/>
      <c r="AY12" s="126">
        <f t="shared" si="1"/>
        <v>5543</v>
      </c>
      <c r="AZ12" s="127">
        <f t="shared" si="1"/>
        <v>2609</v>
      </c>
      <c r="BA12" s="127">
        <f t="shared" si="1"/>
        <v>2083</v>
      </c>
      <c r="BB12" s="127">
        <f t="shared" si="1"/>
        <v>6070</v>
      </c>
      <c r="BC12" s="125">
        <f>IF(ISNUMBER(X12),X12," - ")</f>
        <v>885</v>
      </c>
      <c r="BD12" s="126">
        <f t="shared" si="2"/>
        <v>0.79839018781142201</v>
      </c>
      <c r="BE12" s="127">
        <f t="shared" si="3"/>
        <v>2.9140662506000958</v>
      </c>
      <c r="BF12" s="127">
        <f t="shared" si="4"/>
        <v>0.42486797887662026</v>
      </c>
      <c r="BG12" s="199">
        <f t="shared" si="5"/>
        <v>3.9135861737878059</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6890</v>
      </c>
      <c r="J13" s="187">
        <f t="shared" si="6"/>
        <v>2444</v>
      </c>
      <c r="K13" s="187">
        <f t="shared" si="6"/>
        <v>2138</v>
      </c>
      <c r="L13" s="187">
        <f t="shared" si="6"/>
        <v>7195</v>
      </c>
      <c r="M13" s="187">
        <f t="shared" si="6"/>
        <v>482</v>
      </c>
      <c r="N13" s="187">
        <f t="shared" si="6"/>
        <v>819</v>
      </c>
      <c r="O13" s="187">
        <f t="shared" si="6"/>
        <v>1220</v>
      </c>
      <c r="P13" s="187">
        <f t="shared" si="6"/>
        <v>662</v>
      </c>
      <c r="Q13" s="187">
        <f t="shared" si="6"/>
        <v>492</v>
      </c>
      <c r="R13" s="187">
        <f t="shared" si="6"/>
        <v>9489</v>
      </c>
      <c r="S13" s="187">
        <f t="shared" si="6"/>
        <v>5538</v>
      </c>
      <c r="T13" s="187">
        <f t="shared" si="6"/>
        <v>2427</v>
      </c>
      <c r="U13" s="187">
        <f t="shared" si="6"/>
        <v>1934</v>
      </c>
      <c r="V13" s="187">
        <f t="shared" si="6"/>
        <v>6032</v>
      </c>
      <c r="W13" s="187">
        <f t="shared" si="6"/>
        <v>408</v>
      </c>
      <c r="X13" s="187">
        <f t="shared" si="6"/>
        <v>902</v>
      </c>
      <c r="Y13" s="187">
        <f t="shared" si="6"/>
        <v>109</v>
      </c>
      <c r="Z13" s="187">
        <f t="shared" si="6"/>
        <v>191</v>
      </c>
      <c r="AA13" s="187">
        <f t="shared" si="6"/>
        <v>167</v>
      </c>
      <c r="AB13" s="187">
        <f t="shared" si="6"/>
        <v>133</v>
      </c>
      <c r="AC13" s="187">
        <f t="shared" si="6"/>
        <v>0</v>
      </c>
      <c r="AD13" s="187">
        <f t="shared" si="6"/>
        <v>0</v>
      </c>
      <c r="AE13" s="187">
        <f t="shared" si="6"/>
        <v>0</v>
      </c>
      <c r="AF13" s="187">
        <f>SUBTOTAL(9,AF9:AF12)</f>
        <v>0</v>
      </c>
      <c r="AG13" s="187">
        <f t="shared" ref="AG13:AT13" si="7">SUBTOTAL(9,AG8:AG12)</f>
        <v>68</v>
      </c>
      <c r="AH13" s="187">
        <f t="shared" si="7"/>
        <v>202</v>
      </c>
      <c r="AI13" s="187">
        <f t="shared" si="7"/>
        <v>174</v>
      </c>
      <c r="AJ13" s="187">
        <f t="shared" si="7"/>
        <v>96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5606</v>
      </c>
      <c r="AZ13" s="187">
        <f>SUBTOTAL(9,AZ8:AZ12)</f>
        <v>2629</v>
      </c>
      <c r="BA13" s="187">
        <f>SUBTOTAL(9,BA8:BA12)</f>
        <v>2108</v>
      </c>
      <c r="BB13" s="187">
        <f>SUBTOTAL(9,BB8:BB12)</f>
        <v>6128</v>
      </c>
      <c r="BC13" s="187">
        <f>SUBTOTAL(9,BC8:BC12)</f>
        <v>900</v>
      </c>
      <c r="BD13" s="208">
        <f>IF(ISNUMBER(BA13/AZ13),BA13/AZ13," - ")</f>
        <v>0.80182578927348802</v>
      </c>
      <c r="BE13" s="209">
        <f>IF(ISNUMBER(BB13/BA13),BB13/BA13, " - ")</f>
        <v>2.9070208728652753</v>
      </c>
      <c r="BF13" s="209">
        <f>IF(ISNUMBER(BC13/BA13),BC13/BA13, " - ")</f>
        <v>0.42694497153700189</v>
      </c>
      <c r="BG13" s="210">
        <f>IF(ISNUMBER((AY13+AZ13)/BA13),(AY13+AZ13)/BA13," - ")</f>
        <v>3.9065464895635675</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2906</v>
      </c>
      <c r="J16" s="186">
        <v>2579</v>
      </c>
      <c r="K16" s="186">
        <v>2287</v>
      </c>
      <c r="L16" s="186">
        <v>3198</v>
      </c>
      <c r="M16" s="186">
        <v>235</v>
      </c>
      <c r="N16" s="186">
        <v>1662</v>
      </c>
      <c r="O16" s="184">
        <v>35</v>
      </c>
      <c r="P16" s="186">
        <v>32</v>
      </c>
      <c r="Q16" s="186">
        <v>47</v>
      </c>
      <c r="R16" s="186">
        <v>326</v>
      </c>
      <c r="S16" s="186">
        <v>2103</v>
      </c>
      <c r="T16" s="186">
        <v>2301</v>
      </c>
      <c r="U16" s="186">
        <v>2213</v>
      </c>
      <c r="V16" s="186">
        <v>2193</v>
      </c>
      <c r="W16" s="186">
        <v>305</v>
      </c>
      <c r="X16" s="192">
        <v>1559</v>
      </c>
      <c r="Y16" s="205">
        <v>0</v>
      </c>
      <c r="Z16" s="186">
        <v>0</v>
      </c>
      <c r="AA16" s="186">
        <v>0</v>
      </c>
      <c r="AB16" s="186">
        <v>0</v>
      </c>
      <c r="AC16" s="186">
        <v>26</v>
      </c>
      <c r="AD16" s="186">
        <v>72</v>
      </c>
      <c r="AE16" s="186">
        <v>68</v>
      </c>
      <c r="AF16" s="192">
        <v>30</v>
      </c>
      <c r="AG16" s="205">
        <v>0</v>
      </c>
      <c r="AH16" s="186">
        <v>0</v>
      </c>
      <c r="AI16" s="186">
        <v>0</v>
      </c>
      <c r="AJ16" s="206">
        <v>0</v>
      </c>
      <c r="AK16" s="185">
        <v>0</v>
      </c>
      <c r="AL16" s="186">
        <v>102</v>
      </c>
      <c r="AM16" s="186">
        <v>100</v>
      </c>
      <c r="AN16" s="192">
        <v>2</v>
      </c>
      <c r="AO16" s="262">
        <v>8</v>
      </c>
      <c r="AP16" s="158">
        <v>8</v>
      </c>
      <c r="AQ16" s="158">
        <v>8</v>
      </c>
      <c r="AR16" s="158">
        <v>8</v>
      </c>
      <c r="AS16" s="343" t="s">
        <v>491</v>
      </c>
      <c r="AT16" s="206"/>
      <c r="AU16" s="205"/>
      <c r="AV16" s="206"/>
      <c r="AW16" s="205"/>
      <c r="AX16" s="206"/>
      <c r="AY16" s="126">
        <f t="shared" si="9"/>
        <v>2103</v>
      </c>
      <c r="AZ16" s="127">
        <f t="shared" si="9"/>
        <v>2301</v>
      </c>
      <c r="BA16" s="127">
        <f t="shared" si="9"/>
        <v>2213</v>
      </c>
      <c r="BB16" s="127">
        <f t="shared" si="9"/>
        <v>2193</v>
      </c>
      <c r="BC16" s="125">
        <f>IF(ISNUMBER(W16),W16," - ")</f>
        <v>305</v>
      </c>
      <c r="BD16" s="126">
        <f t="shared" ref="BD16" si="11">IF(ISNUMBER(BA16/AZ16),BA16/AZ16," - ")</f>
        <v>0.96175575836592786</v>
      </c>
      <c r="BE16" s="127">
        <f t="shared" ref="BE16" si="12">IF(ISNUMBER(BB16/BA16),BB16/BA16, " - ")</f>
        <v>0.99096249435155892</v>
      </c>
      <c r="BF16" s="127">
        <f t="shared" ref="BF16" si="13">IF(ISNUMBER(BC16/BA16),BC16/BA16, " - ")</f>
        <v>0.13782196113872572</v>
      </c>
      <c r="BG16" s="199">
        <f t="shared" si="10"/>
        <v>1.9900587437867148</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225</v>
      </c>
      <c r="J17" s="186">
        <v>246</v>
      </c>
      <c r="K17" s="186">
        <v>207</v>
      </c>
      <c r="L17" s="186">
        <v>264</v>
      </c>
      <c r="M17" s="186">
        <v>18</v>
      </c>
      <c r="N17" s="186">
        <v>97</v>
      </c>
      <c r="O17" s="186">
        <v>0</v>
      </c>
      <c r="P17" s="186">
        <v>1</v>
      </c>
      <c r="Q17" s="186">
        <v>1</v>
      </c>
      <c r="R17" s="186">
        <v>6</v>
      </c>
      <c r="S17" s="186">
        <v>148</v>
      </c>
      <c r="T17" s="186">
        <v>220</v>
      </c>
      <c r="U17" s="186">
        <v>223</v>
      </c>
      <c r="V17" s="186">
        <v>145</v>
      </c>
      <c r="W17" s="186">
        <v>18</v>
      </c>
      <c r="X17" s="192">
        <v>106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148</v>
      </c>
      <c r="AZ17" s="129">
        <f t="shared" si="14"/>
        <v>220</v>
      </c>
      <c r="BA17" s="129">
        <f t="shared" si="14"/>
        <v>223</v>
      </c>
      <c r="BB17" s="129">
        <f t="shared" si="14"/>
        <v>145</v>
      </c>
      <c r="BC17" s="125">
        <f>IF(ISNUMBER(W17),W17," - ")</f>
        <v>18</v>
      </c>
      <c r="BD17" s="126">
        <f>IF(ISNUMBER(BA17/AZ17),BA17/AZ17," - ")</f>
        <v>1.0136363636363637</v>
      </c>
      <c r="BE17" s="127">
        <f>IF(ISNUMBER(BB17/BA17),BB17/BA17, " - ")</f>
        <v>0.65022421524663676</v>
      </c>
      <c r="BF17" s="127">
        <f>IF(ISNUMBER(BC17/BA17),BC17/BA17, " - ")</f>
        <v>8.0717488789237665E-2</v>
      </c>
      <c r="BG17" s="199">
        <f>IF(ISNUMBER((AY17+AZ17)/BA17),(AY17+AZ17)/BA17," - ")</f>
        <v>1.6502242152466369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3131</v>
      </c>
      <c r="J18" s="187">
        <f t="shared" si="15"/>
        <v>2825</v>
      </c>
      <c r="K18" s="187">
        <f t="shared" si="15"/>
        <v>2494</v>
      </c>
      <c r="L18" s="187">
        <f t="shared" si="15"/>
        <v>3462</v>
      </c>
      <c r="M18" s="187">
        <f t="shared" si="15"/>
        <v>253</v>
      </c>
      <c r="N18" s="187">
        <f t="shared" si="15"/>
        <v>1759</v>
      </c>
      <c r="O18" s="187">
        <f t="shared" si="15"/>
        <v>35</v>
      </c>
      <c r="P18" s="187">
        <f t="shared" si="15"/>
        <v>33</v>
      </c>
      <c r="Q18" s="187">
        <f t="shared" si="15"/>
        <v>48</v>
      </c>
      <c r="R18" s="187">
        <f t="shared" si="15"/>
        <v>332</v>
      </c>
      <c r="S18" s="187">
        <f t="shared" si="15"/>
        <v>2251</v>
      </c>
      <c r="T18" s="187">
        <f t="shared" si="15"/>
        <v>2521</v>
      </c>
      <c r="U18" s="187">
        <f t="shared" si="15"/>
        <v>2436</v>
      </c>
      <c r="V18" s="187">
        <f t="shared" si="15"/>
        <v>2338</v>
      </c>
      <c r="W18" s="187">
        <f t="shared" si="15"/>
        <v>323</v>
      </c>
      <c r="X18" s="187">
        <f t="shared" si="15"/>
        <v>1665</v>
      </c>
      <c r="Y18" s="187">
        <f t="shared" si="15"/>
        <v>0</v>
      </c>
      <c r="Z18" s="187">
        <f t="shared" si="15"/>
        <v>0</v>
      </c>
      <c r="AA18" s="187">
        <f t="shared" si="15"/>
        <v>0</v>
      </c>
      <c r="AB18" s="187">
        <f t="shared" si="15"/>
        <v>0</v>
      </c>
      <c r="AC18" s="187">
        <f t="shared" si="15"/>
        <v>26</v>
      </c>
      <c r="AD18" s="187">
        <f t="shared" si="15"/>
        <v>72</v>
      </c>
      <c r="AE18" s="187">
        <f t="shared" si="15"/>
        <v>68</v>
      </c>
      <c r="AF18" s="187">
        <f t="shared" si="15"/>
        <v>30</v>
      </c>
      <c r="AG18" s="187">
        <f t="shared" si="15"/>
        <v>0</v>
      </c>
      <c r="AH18" s="187">
        <f t="shared" si="15"/>
        <v>0</v>
      </c>
      <c r="AI18" s="187">
        <f t="shared" si="15"/>
        <v>0</v>
      </c>
      <c r="AJ18" s="187">
        <f t="shared" si="15"/>
        <v>0</v>
      </c>
      <c r="AK18" s="187">
        <f t="shared" si="15"/>
        <v>0</v>
      </c>
      <c r="AL18" s="187">
        <f t="shared" si="15"/>
        <v>102</v>
      </c>
      <c r="AM18" s="187">
        <f t="shared" si="15"/>
        <v>100</v>
      </c>
      <c r="AN18" s="187">
        <f t="shared" si="15"/>
        <v>2</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2251</v>
      </c>
      <c r="AZ18" s="187">
        <f>SUBTOTAL(9,AZ14:AZ17)</f>
        <v>2521</v>
      </c>
      <c r="BA18" s="187">
        <f>SUBTOTAL(9,BA14:BA17)</f>
        <v>2436</v>
      </c>
      <c r="BB18" s="187">
        <f>SUBTOTAL(9,BB14:BB17)</f>
        <v>2338</v>
      </c>
      <c r="BC18" s="187">
        <f>SUBTOTAL(9,BC14:BC17)</f>
        <v>323</v>
      </c>
      <c r="BD18" s="208">
        <f>IF(ISNUMBER(BA18/AZ18),BA18/AZ18," - ")</f>
        <v>0.96628322094406982</v>
      </c>
      <c r="BE18" s="209">
        <f>IF(ISNUMBER(BB18/BA18),BB18/BA18, " - ")</f>
        <v>0.95977011494252873</v>
      </c>
      <c r="BF18" s="209">
        <f>IF(ISNUMBER(BC18/BA18),BC18/BA18, " - ")</f>
        <v>0.1325944170771757</v>
      </c>
      <c r="BG18" s="210">
        <f>IF(ISNUMBER((AY18+AZ18)/BA18),(AY18+AZ18)/BA18," - ")</f>
        <v>1.9589490968801313</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10021</v>
      </c>
      <c r="J19" s="134">
        <f t="shared" si="18"/>
        <v>5269</v>
      </c>
      <c r="K19" s="134">
        <f t="shared" si="18"/>
        <v>4632</v>
      </c>
      <c r="L19" s="134">
        <f t="shared" si="18"/>
        <v>10657</v>
      </c>
      <c r="M19" s="134">
        <f t="shared" si="18"/>
        <v>735</v>
      </c>
      <c r="N19" s="134">
        <f t="shared" si="18"/>
        <v>2578</v>
      </c>
      <c r="O19" s="134">
        <f t="shared" si="18"/>
        <v>1255</v>
      </c>
      <c r="P19" s="134">
        <f t="shared" si="18"/>
        <v>695</v>
      </c>
      <c r="Q19" s="134">
        <f t="shared" si="18"/>
        <v>540</v>
      </c>
      <c r="R19" s="134">
        <f t="shared" si="18"/>
        <v>9821</v>
      </c>
      <c r="S19" s="134">
        <f t="shared" si="18"/>
        <v>7789</v>
      </c>
      <c r="T19" s="134">
        <f t="shared" si="18"/>
        <v>4948</v>
      </c>
      <c r="U19" s="134">
        <f t="shared" si="18"/>
        <v>4370</v>
      </c>
      <c r="V19" s="134">
        <f t="shared" si="18"/>
        <v>8370</v>
      </c>
      <c r="W19" s="134">
        <f t="shared" si="18"/>
        <v>731</v>
      </c>
      <c r="X19" s="134">
        <f t="shared" si="18"/>
        <v>2567</v>
      </c>
      <c r="Y19" s="134">
        <f t="shared" si="18"/>
        <v>109</v>
      </c>
      <c r="Z19" s="134">
        <f t="shared" si="18"/>
        <v>191</v>
      </c>
      <c r="AA19" s="134">
        <f t="shared" si="18"/>
        <v>167</v>
      </c>
      <c r="AB19" s="134">
        <f t="shared" si="18"/>
        <v>133</v>
      </c>
      <c r="AC19" s="134">
        <f t="shared" si="18"/>
        <v>26</v>
      </c>
      <c r="AD19" s="134">
        <f t="shared" si="18"/>
        <v>72</v>
      </c>
      <c r="AE19" s="134">
        <f t="shared" si="18"/>
        <v>68</v>
      </c>
      <c r="AF19" s="134">
        <f t="shared" si="18"/>
        <v>30</v>
      </c>
      <c r="AG19" s="134">
        <f t="shared" si="18"/>
        <v>68</v>
      </c>
      <c r="AH19" s="134">
        <f t="shared" si="18"/>
        <v>202</v>
      </c>
      <c r="AI19" s="134">
        <f t="shared" si="18"/>
        <v>174</v>
      </c>
      <c r="AJ19" s="134">
        <f t="shared" si="18"/>
        <v>96</v>
      </c>
      <c r="AK19" s="134">
        <f t="shared" si="18"/>
        <v>0</v>
      </c>
      <c r="AL19" s="134">
        <f t="shared" si="18"/>
        <v>102</v>
      </c>
      <c r="AM19" s="134">
        <f t="shared" si="18"/>
        <v>100</v>
      </c>
      <c r="AN19" s="213">
        <f t="shared" si="18"/>
        <v>2</v>
      </c>
      <c r="AO19" s="214">
        <v>9</v>
      </c>
      <c r="AP19" s="214">
        <v>9</v>
      </c>
      <c r="AQ19" s="214">
        <v>9</v>
      </c>
      <c r="AR19" s="214">
        <v>9</v>
      </c>
      <c r="AS19" s="156">
        <f t="shared" si="18"/>
        <v>0</v>
      </c>
      <c r="AT19" s="156">
        <f t="shared" si="18"/>
        <v>0</v>
      </c>
      <c r="AU19" s="214"/>
      <c r="AV19" s="215"/>
      <c r="AW19" s="214"/>
      <c r="AX19" s="215"/>
      <c r="AY19" s="133">
        <f>SUBTOTAL(9,AY9:AY18)</f>
        <v>7857</v>
      </c>
      <c r="AZ19" s="134">
        <f>SUBTOTAL(9,AZ9:AZ18)</f>
        <v>5150</v>
      </c>
      <c r="BA19" s="134">
        <f>SUBTOTAL(9,BA9:BA18)</f>
        <v>4544</v>
      </c>
      <c r="BB19" s="134">
        <f>SUBTOTAL(9,BB9:BB18)</f>
        <v>8466</v>
      </c>
      <c r="BC19" s="135">
        <f>SUBTOTAL(9,BC9:BC18)</f>
        <v>1223</v>
      </c>
      <c r="BD19" s="216">
        <f>IF(ISNUMBER(BA19/AZ19),BA19/AZ19," - ")</f>
        <v>0.88233009708737864</v>
      </c>
      <c r="BE19" s="213">
        <f>IF(ISNUMBER(BB19/BA19),BB19/BA19, " - ")</f>
        <v>1.8631161971830985</v>
      </c>
      <c r="BF19" s="213">
        <f>IF(ISNUMBER(BC19/BA19),BC19/BA19, " - ")</f>
        <v>0.26914612676056338</v>
      </c>
      <c r="BG19" s="135">
        <f>IF(ISNUMBER((AY19+AZ19)/BA19),(AY19+AZ19)/BA19," - ")</f>
        <v>2.862455985915493</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UhcC4YI7YNffmVBniWXmjX7otV/4midjczRZQ8IrpSBm0SkiGwzIk4Rfi2jezonZCxJ0m0wuHSFciVn+lNzw==" saltValue="/OSSeUewBVzUNZis7jTu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DOwanm75/q9ZKR12FSwLs5b9JhEZEPct6IU0F4UxNX7IBTkkC+mCmftlfDowIwjpqW9lRojFAHnC/+6lXXqA==" saltValue="+bfIFc1KAm2gQH2x1f1c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MANRESA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63</v>
      </c>
      <c r="G10" s="336">
        <f>IF(ISNUMBER(Datos!I10),Datos!I10," - ")</f>
        <v>63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14</v>
      </c>
      <c r="AD10" s="337"/>
      <c r="AE10" s="487"/>
      <c r="AF10" s="335">
        <f>IF(ISNUMBER(Datos!L10),Datos!L10,"-")</f>
        <v>75</v>
      </c>
      <c r="AG10" s="337"/>
      <c r="AH10" s="337"/>
      <c r="AI10" s="337"/>
      <c r="AJ10" s="337"/>
      <c r="AK10" s="337"/>
      <c r="AL10" s="482"/>
      <c r="AM10" s="338">
        <f>IF(ISNUMBER(Datos!R10),Datos!R10," - ")</f>
        <v>94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13</v>
      </c>
      <c r="BE10" s="232" t="str">
        <f>IF(ISNUMBER(Datos!BW10),Datos!BW10," - ")</f>
        <v xml:space="preserve"> - </v>
      </c>
      <c r="BF10" s="231" t="str">
        <f>IF(ISNUMBER(Datos!BX10),Datos!BX10," - ")</f>
        <v xml:space="preserve"> - </v>
      </c>
      <c r="BG10" s="246">
        <f>IF(ISNUMBER(Datos!K10/Datos!J10),Datos!K10/Datos!J10," - ")</f>
        <v>0.63636363636363635</v>
      </c>
      <c r="BH10" s="263">
        <f>IF(ISNUMBER(((Datos!L10/Datos!K10)*11)/factor_trimestre),((Datos!L10/Datos!K10)*11)/factor_trimestre," - ")</f>
        <v>10.714285714285715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-5.0505050505050504E-2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191</v>
      </c>
      <c r="O12" s="337"/>
      <c r="P12" s="337"/>
      <c r="Q12" s="229">
        <f>IF(ISNUMBER(Datos!P12),Datos!P12,0)</f>
        <v>653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133</v>
      </c>
      <c r="AI12" s="337" t="str">
        <f>IF(ISNUMBER(Datos!CD12),Datos!CD12,"-")</f>
        <v>-</v>
      </c>
      <c r="AJ12" s="337" t="str">
        <f>IF(ISNUMBER(Datos!EN12),Datos!EN12," - ")</f>
        <v xml:space="preserve"> - </v>
      </c>
      <c r="AK12" s="337"/>
      <c r="AL12" s="482"/>
      <c r="AM12" s="338">
        <f>IF(ISNUMBER(Datos!R12),Datos!R12," - ")</f>
        <v>9395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474</v>
      </c>
      <c r="BD12" s="232">
        <f>IF(ISNUMBER(Datos!N12),Datos!N12," - ")</f>
        <v>806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0.87778631821675634</v>
      </c>
      <c r="BH12" s="263">
        <f>IF(ISNUMBER(((IF(J_V="SI",Datos!L12/Datos!K12,(Datos!L12+Datos!AB12)/(Datos!K12+Datos!AA12)))*11)/factor_trimestre),((IF(J_V="SI",Datos!L12/Datos!K12,(Datos!L12+Datos!AB12)/(Datos!K12+Datos!AA12)))*11)/factor_trimestre," - ")</f>
        <v>9.526707530647986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1.8980477223427331E-2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63</v>
      </c>
      <c r="G13" s="901">
        <f t="shared" si="0"/>
        <v>63</v>
      </c>
      <c r="H13" s="902">
        <f t="shared" si="0"/>
        <v>0</v>
      </c>
      <c r="I13" s="901">
        <f t="shared" si="0"/>
        <v>0</v>
      </c>
      <c r="J13" s="870">
        <f t="shared" si="0"/>
        <v>0</v>
      </c>
      <c r="K13" s="870">
        <f t="shared" si="0"/>
        <v>0</v>
      </c>
      <c r="L13" s="902">
        <f t="shared" si="0"/>
        <v>0</v>
      </c>
      <c r="M13" s="902">
        <f t="shared" si="0"/>
        <v>0</v>
      </c>
      <c r="N13" s="902">
        <f t="shared" si="0"/>
        <v>191</v>
      </c>
      <c r="O13" s="903">
        <f t="shared" si="0"/>
        <v>0</v>
      </c>
      <c r="P13" s="903">
        <f t="shared" si="0"/>
        <v>0</v>
      </c>
      <c r="Q13" s="902">
        <f t="shared" si="0"/>
        <v>662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492</v>
      </c>
      <c r="AD13" s="902">
        <f t="shared" si="1"/>
        <v>0</v>
      </c>
      <c r="AE13" s="902">
        <f t="shared" si="1"/>
        <v>0</v>
      </c>
      <c r="AF13" s="902">
        <f t="shared" si="1"/>
        <v>75</v>
      </c>
      <c r="AG13" s="902">
        <f t="shared" si="1"/>
        <v>0</v>
      </c>
      <c r="AH13" s="902">
        <f t="shared" si="1"/>
        <v>133</v>
      </c>
      <c r="AI13" s="902">
        <f t="shared" si="1"/>
        <v>0</v>
      </c>
      <c r="AJ13" s="902">
        <f t="shared" si="1"/>
        <v>0</v>
      </c>
      <c r="AK13" s="902">
        <f t="shared" si="1"/>
        <v>0</v>
      </c>
      <c r="AL13" s="902">
        <f t="shared" si="1"/>
        <v>0</v>
      </c>
      <c r="AM13" s="902">
        <f t="shared" si="1"/>
        <v>9489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482</v>
      </c>
      <c r="BD13" s="902">
        <f t="shared" si="1"/>
        <v>819</v>
      </c>
      <c r="BE13" s="902">
        <f t="shared" si="1"/>
        <v>0</v>
      </c>
      <c r="BF13" s="902">
        <f t="shared" si="1"/>
        <v>0</v>
      </c>
      <c r="BG13" s="902">
        <f>IF(ISNUMBER(Datos!K13/Datos!J13),Datos!K13/Datos!J13," - ")</f>
        <v>0.87479541734860888</v>
      </c>
      <c r="BH13" s="906">
        <f>IF(ISNUMBER(((Datos!L13/Datos!K13)*11)/factor_trimestre),((Datos!L13/Datos!K13)*11)/factor_trimestre," - ")</f>
        <v>10.095884003741816</v>
      </c>
      <c r="BI13" s="902">
        <f>IF(ISNUMBER('Resol  Asuntos'!D13/NºAsuntos!G13),'Resol  Asuntos'!D13/NºAsuntos!G13," - ")</f>
        <v>0.20911062906724512</v>
      </c>
      <c r="BJ13" s="902" t="str">
        <f>IF(ISNUMBER(Datos!CI13/Datos!CJ13),Datos!CI13/Datos!CJ13," - ")</f>
        <v xml:space="preserve"> - </v>
      </c>
      <c r="BK13" s="902">
        <f>SUBTOTAL(9,BK8:BK12)</f>
        <v>0</v>
      </c>
      <c r="BL13" s="902">
        <f>IF(ISNUMBER((I13-AB13+L13)/(F13)),(I13-AB13+L13)/(F13)," - ")</f>
        <v>-0.33333333333333331</v>
      </c>
      <c r="BM13" s="907">
        <f>SUBTOTAL(9,BM9:BM12)</f>
        <v>-3.1524573281623169E-2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2906</v>
      </c>
      <c r="G16" s="601">
        <f>IF(ISNUMBER(IF(D_I="SI",Datos!I16,Datos!I16+Datos!AC16)),IF(D_I="SI",Datos!I16,Datos!I16+Datos!AC16)," - ")</f>
        <v>2906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2287</v>
      </c>
      <c r="AC16" s="229">
        <f>IF(ISNUMBER(Datos!Q16),Datos!Q16," - ")</f>
        <v>47</v>
      </c>
      <c r="AD16" s="337"/>
      <c r="AE16" s="487"/>
      <c r="AF16" s="599">
        <f>IF(ISNUMBER(IF(D_I="SI",Datos!L16,Datos!L16+Datos!AF16)),IF(D_I="SI",Datos!L16,Datos!L16+Datos!AF16)," - ")</f>
        <v>3198</v>
      </c>
      <c r="AG16" s="337"/>
      <c r="AH16" s="337"/>
      <c r="AI16" s="337"/>
      <c r="AJ16" s="337"/>
      <c r="AK16" s="337"/>
      <c r="AL16" s="482"/>
      <c r="AM16" s="338">
        <f>IF(ISNUMBER(Datos!R16),Datos!R16," - ")</f>
        <v>326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235</v>
      </c>
      <c r="BD16" s="232">
        <f>IF(ISNUMBER(Datos!N16),Datos!N16," - ")</f>
        <v>1662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0.8867778208607987</v>
      </c>
      <c r="BH16" s="263">
        <f>IF(ISNUMBER(((IF(D_I="SI",Datos!L16/Datos!K16,(Datos!L16+Datos!AF16)/(Datos!K16+Datos!AE16)))*11)/factor_trimestre),((IF(D_I="SI",Datos!L16/Datos!K16,(Datos!L16+Datos!AF16)/(Datos!K16+Datos!AE16)))*11)/factor_trimestre," - ")</f>
        <v>4.1950153038915614</v>
      </c>
      <c r="BI16" s="246">
        <f>IF(ISNUMBER('Resol  Asuntos'!D16/NºAsuntos!G16),'Resol  Asuntos'!D16/NºAsuntos!G16," - ")</f>
        <v>0.10275470048097946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207</v>
      </c>
      <c r="AC17" s="229">
        <f>IF(ISNUMBER(Datos!Q17),Datos!Q17," - ")</f>
        <v>1</v>
      </c>
      <c r="AD17" s="337"/>
      <c r="AE17" s="487"/>
      <c r="AF17" s="335">
        <f>IF(ISNUMBER(Datos!L17),Datos!L17,"-")</f>
        <v>264</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0.84146341463414631</v>
      </c>
      <c r="BH17" s="263">
        <f>IF(ISNUMBER(((IF(D_I="SI",Datos!L17/Datos!K17,(Datos!L17+Datos!AF17)/(Datos!K17+Datos!AE17)))*11)/factor_trimestre),((IF(D_I="SI",Datos!L17/Datos!K17,(Datos!L17+Datos!AF17)/(Datos!K17+Datos!AE17)))*11)/factor_trimestre," - ")</f>
        <v>3.8260869565217388</v>
      </c>
      <c r="BI17" s="246">
        <f>IF(ISNUMBER('Resol  Asuntos'!D17/NºAsuntos!G17),'Resol  Asuntos'!D17/NºAsuntos!G17," - ")</f>
        <v>8.6956521739130432E-2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2906</v>
      </c>
      <c r="G18" s="901">
        <f>SUBTOTAL(9,G15:G17)</f>
        <v>3131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2494</v>
      </c>
      <c r="AC18" s="902">
        <f t="shared" si="4"/>
        <v>48</v>
      </c>
      <c r="AD18" s="902">
        <f t="shared" si="4"/>
        <v>0</v>
      </c>
      <c r="AE18" s="902">
        <f t="shared" si="4"/>
        <v>0</v>
      </c>
      <c r="AF18" s="902">
        <f t="shared" si="4"/>
        <v>3462</v>
      </c>
      <c r="AG18" s="902">
        <f t="shared" si="4"/>
        <v>0</v>
      </c>
      <c r="AH18" s="902">
        <f t="shared" si="4"/>
        <v>0</v>
      </c>
      <c r="AI18" s="902">
        <f t="shared" si="4"/>
        <v>0</v>
      </c>
      <c r="AJ18" s="902">
        <f t="shared" si="4"/>
        <v>0</v>
      </c>
      <c r="AK18" s="902">
        <f t="shared" si="4"/>
        <v>0</v>
      </c>
      <c r="AL18" s="902">
        <f t="shared" si="4"/>
        <v>0</v>
      </c>
      <c r="AM18" s="902">
        <f t="shared" si="4"/>
        <v>332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253</v>
      </c>
      <c r="BD18" s="902">
        <f t="shared" si="4"/>
        <v>1759</v>
      </c>
      <c r="BE18" s="902">
        <f t="shared" si="4"/>
        <v>0</v>
      </c>
      <c r="BF18" s="902">
        <f t="shared" si="4"/>
        <v>0</v>
      </c>
      <c r="BG18" s="902">
        <f>IF(ISNUMBER(Datos!K18/Datos!J18),Datos!K18/Datos!J18," - ")</f>
        <v>0.88283185840707967</v>
      </c>
      <c r="BH18" s="906">
        <f>IF(ISNUMBER(((Datos!L18/Datos!K18)*11)/factor_trimestre),((Datos!L18/Datos!K18)*11)/factor_trimestre," - ")</f>
        <v>4.1643945469125905</v>
      </c>
      <c r="BI18" s="902">
        <f>SUBTOTAL(9,BI15:BI17)</f>
        <v>0.18971122222010989</v>
      </c>
      <c r="BJ18" s="902">
        <f>SUBTOTAL(9,BJ15:BJ17)</f>
        <v>0</v>
      </c>
      <c r="BK18" s="902">
        <f>SUBTOTAL(9,BK15:BK17)</f>
        <v>0</v>
      </c>
      <c r="BL18" s="902">
        <f>IF(ISNUMBER((I18-AB18+L18)/(F18)),(I18-AB18+L18)/(F18)," - ")</f>
        <v>-0.85822436338609775</v>
      </c>
      <c r="BM18" s="908">
        <f>IF(ISNUMBER((Datos!P18-Datos!Q18)/(Datos!R18-Datos!P18+Datos!Q18)),(Datos!P18-Datos!Q18)/(Datos!R18-Datos!P18+Datos!Q18)," - ")</f>
        <v>-4.3227665706051875E-2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2969</v>
      </c>
      <c r="G19" s="823">
        <f t="shared" si="6"/>
        <v>3194</v>
      </c>
      <c r="H19" s="825">
        <f t="shared" si="6"/>
        <v>0</v>
      </c>
      <c r="I19" s="823">
        <f t="shared" si="6"/>
        <v>0</v>
      </c>
      <c r="J19" s="825">
        <f t="shared" si="6"/>
        <v>0</v>
      </c>
      <c r="K19" s="825">
        <f t="shared" si="6"/>
        <v>0</v>
      </c>
      <c r="L19" s="884">
        <f t="shared" si="6"/>
        <v>0</v>
      </c>
      <c r="M19" s="884">
        <f t="shared" si="6"/>
        <v>0</v>
      </c>
      <c r="N19" s="884">
        <f t="shared" si="6"/>
        <v>191</v>
      </c>
      <c r="O19" s="884">
        <f t="shared" si="6"/>
        <v>0</v>
      </c>
      <c r="P19" s="884">
        <f t="shared" si="6"/>
        <v>0</v>
      </c>
      <c r="Q19" s="825">
        <f t="shared" si="6"/>
        <v>695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2515</v>
      </c>
      <c r="AC19" s="824">
        <f t="shared" si="7"/>
        <v>540</v>
      </c>
      <c r="AD19" s="824">
        <f t="shared" si="7"/>
        <v>0</v>
      </c>
      <c r="AE19" s="824">
        <f t="shared" si="7"/>
        <v>0</v>
      </c>
      <c r="AF19" s="831">
        <f t="shared" si="7"/>
        <v>3537</v>
      </c>
      <c r="AG19" s="831">
        <f t="shared" si="7"/>
        <v>0</v>
      </c>
      <c r="AH19" s="831">
        <f t="shared" si="7"/>
        <v>133</v>
      </c>
      <c r="AI19" s="831">
        <f t="shared" si="7"/>
        <v>0</v>
      </c>
      <c r="AJ19" s="824">
        <f t="shared" si="7"/>
        <v>0</v>
      </c>
      <c r="AK19" s="831">
        <f t="shared" si="7"/>
        <v>0</v>
      </c>
      <c r="AL19" s="831">
        <f t="shared" si="7"/>
        <v>0</v>
      </c>
      <c r="AM19" s="831">
        <f t="shared" si="7"/>
        <v>9821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735</v>
      </c>
      <c r="BD19" s="823">
        <f t="shared" si="7"/>
        <v>2578</v>
      </c>
      <c r="BE19" s="823">
        <f t="shared" si="7"/>
        <v>0</v>
      </c>
      <c r="BF19" s="833">
        <f t="shared" si="7"/>
        <v>0</v>
      </c>
      <c r="BG19" s="918">
        <f>IF(ISNUMBER(Datos!K19/Datos!J19),Datos!K19/Datos!J19," - ")</f>
        <v>0.87910419434427789</v>
      </c>
      <c r="BH19" s="918">
        <f>IF(ISNUMBER(((Datos!L19/Datos!K19)*11)/factor_trimestre),((Datos!L19/Datos!K19)*11)/factor_trimestre," - ")</f>
        <v>6.9022020725388602</v>
      </c>
      <c r="BI19" s="816">
        <f>IF(ISNUMBER(Datos!J19/Datos!I19),Datos!J19/Datos!I19," - ")</f>
        <v>0.52579582875960484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-0.84708656113169423</v>
      </c>
      <c r="BM19" s="892">
        <f>IF(ISNUMBER((Datos!P19-Datos!Q19+R19)/(Datos!R19-Datos!P19+Datos!Q19-R19)),(Datos!P19-Datos!Q19+R19)/(Datos!R19-Datos!P19+Datos!Q19-R19)," - ")</f>
        <v>1.6035588661286987E-2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1277.5999999999999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4.3011626335213133</v>
      </c>
      <c r="F21" s="554">
        <f>IF(ISNUMBER(STDEV(F8:F18)),STDEV(F8:F18),"-")</f>
        <v>1641.4068153061062</v>
      </c>
      <c r="G21" s="555">
        <f>IF(ISNUMBER(STDEV(G8:G18)),STDEV(G8:G18),"-")</f>
        <v>1592.5805474135366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1268.2621968662475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208.0730640904776</v>
      </c>
      <c r="BD21" s="554"/>
      <c r="BE21" s="554">
        <f>IF(ISNUMBER(STDEV(BE8:BE18)),STDEV(BE8:BE18),"-")</f>
        <v>0</v>
      </c>
      <c r="BF21" s="559">
        <f>IF(ISNUMBER(STDEV(BF8:BF18)),STDEV(BF8:BF18),"-")</f>
        <v>0</v>
      </c>
      <c r="BG21" s="778">
        <f>IF(ISNUMBER(STDEV(BG8:BG18)),STDEV(BG8:BG18),"-")</f>
        <v>9.7841452561728715E-2</v>
      </c>
      <c r="BH21" s="779">
        <f>IF(ISNUMBER(STDEV(BH8:BH18)),STDEV(BH8:BH18),"-")</f>
        <v>3.3377090768035402</v>
      </c>
      <c r="BI21" s="252">
        <f>IF(ISNUMBER(STDEV(BI8:BI18)),STDEV(BI8:BI18),"-")</f>
        <v>6.1223017229401558E-2</v>
      </c>
      <c r="BJ21" s="233" t="str">
        <f>IF(ISNUMBER(BL21/BM21),BL21/BM21," - ")</f>
        <v xml:space="preserve"> - </v>
      </c>
      <c r="BK21" s="578"/>
      <c r="BL21" s="562">
        <f>IF(ISNUMBER(STDEV(BL8:BL18)),STDEV(BL8:BL18),"-")</f>
        <v>0.37115400673430166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l7dKEyGvrmBDeahhIi94GYGvyLk9RhS1ikfgZaIrn71hpQVuxlQxzrD5ShVE8XeYEZXUisF7Osh5iK4Z8mZsg==" saltValue="x2hNmEBRlWcmqOUrzFWg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MANRESA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63</v>
      </c>
      <c r="G10" s="228">
        <f>IF(ISNUMBER(Datos!I10),Datos!I10," - ")</f>
        <v>63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14</v>
      </c>
      <c r="AA10" s="335">
        <f>IF(ISNUMBER(Datos!L10),Datos!L10,"-")</f>
        <v>75</v>
      </c>
      <c r="AB10" s="337"/>
      <c r="AC10" s="337"/>
      <c r="AD10" s="487"/>
      <c r="AE10" s="487">
        <f>IF(ISNUMBER(Datos!R10),Datos!R10," - ")</f>
        <v>94</v>
      </c>
      <c r="AF10" s="232" t="str">
        <f>IF(ISNUMBER(Datos!BV10),Datos!BV10," - ")</f>
        <v xml:space="preserve"> - </v>
      </c>
      <c r="AG10" s="228" t="str">
        <f>IF(ISNUMBER(Datos!DV10),Datos!DV10," - ")</f>
        <v xml:space="preserve"> - </v>
      </c>
      <c r="AH10" s="301"/>
      <c r="AI10" s="230"/>
      <c r="AJ10" s="228">
        <f>IF(ISNUMBER(Datos!M10),Datos!M10," - ")</f>
        <v>8</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10.714285714285715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-5.0505050505050504E-2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478</v>
      </c>
      <c r="AA12" s="335" t="str">
        <f>IF(ISNUMBER(IF(J_V="SI",Datos!L12,Datos!L12+Datos!AB12)-IF(Monitorios="SI",Datos!CD12,0)),
                          IF(J_V="SI",Datos!L12,Datos!L12+Datos!AB12)-IF(Monitorios="SI",Datos!CD12,0),
                          " - ")</f>
        <v xml:space="preserve"> - </v>
      </c>
      <c r="AB12" s="337"/>
      <c r="AC12" s="337"/>
      <c r="AD12" s="487"/>
      <c r="AE12" s="487">
        <f>IF(ISNUMBER(Datos!R12),Datos!R12," - ")</f>
        <v>9395</v>
      </c>
      <c r="AF12" s="232" t="str">
        <f>IF(ISNUMBER(Datos!BV12),Datos!BV12," - ")</f>
        <v xml:space="preserve"> - </v>
      </c>
      <c r="AG12" s="228" t="str">
        <f>IF(ISNUMBER(Datos!DV12),Datos!DV12," - ")</f>
        <v xml:space="preserve"> - </v>
      </c>
      <c r="AH12" s="301"/>
      <c r="AI12" s="230"/>
      <c r="AJ12" s="228">
        <f>IF(ISNUMBER(Datos!M12),Datos!M12," - ")</f>
        <v>474</v>
      </c>
      <c r="AK12" s="232">
        <f>IF(ISNUMBER(Datos!N12),Datos!N12," - ")</f>
        <v>806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9.526707530647986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1.8980477223427331E-2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63</v>
      </c>
      <c r="G13" s="901">
        <f>SUBTOTAL(9,G8:G12)</f>
        <v>63</v>
      </c>
      <c r="H13" s="911"/>
      <c r="I13" s="901">
        <f t="shared" ref="I13:N13" si="0">SUBTOTAL(9,I8:I12)</f>
        <v>0</v>
      </c>
      <c r="J13" s="870">
        <f t="shared" si="0"/>
        <v>0</v>
      </c>
      <c r="K13" s="911">
        <f t="shared" si="0"/>
        <v>0</v>
      </c>
      <c r="L13" s="911">
        <f t="shared" si="0"/>
        <v>0</v>
      </c>
      <c r="M13" s="911">
        <f t="shared" si="0"/>
        <v>0</v>
      </c>
      <c r="N13" s="911">
        <f t="shared" si="0"/>
        <v>662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492</v>
      </c>
      <c r="AA13" s="903">
        <f t="shared" si="2"/>
        <v>75</v>
      </c>
      <c r="AB13" s="903">
        <f t="shared" si="2"/>
        <v>0</v>
      </c>
      <c r="AC13" s="903">
        <f t="shared" si="2"/>
        <v>0</v>
      </c>
      <c r="AD13" s="903">
        <f t="shared" si="2"/>
        <v>0</v>
      </c>
      <c r="AE13" s="903">
        <f t="shared" si="2"/>
        <v>9489</v>
      </c>
      <c r="AF13" s="911">
        <f t="shared" si="2"/>
        <v>0</v>
      </c>
      <c r="AG13" s="911">
        <f t="shared" si="2"/>
        <v>0</v>
      </c>
      <c r="AH13" s="911">
        <f t="shared" si="2"/>
        <v>0</v>
      </c>
      <c r="AI13" s="911">
        <f t="shared" si="2"/>
        <v>0</v>
      </c>
      <c r="AJ13" s="911">
        <f t="shared" si="2"/>
        <v>482</v>
      </c>
      <c r="AK13" s="911">
        <f t="shared" si="2"/>
        <v>819</v>
      </c>
      <c r="AL13" s="911">
        <f t="shared" si="2"/>
        <v>0</v>
      </c>
      <c r="AM13" s="911">
        <f t="shared" si="2"/>
        <v>0</v>
      </c>
      <c r="AN13" s="911">
        <f t="shared" si="2"/>
        <v>0</v>
      </c>
      <c r="AO13" s="907">
        <f>IF(ISNUMBER(((NºAsuntos!I13/NºAsuntos!G13)*11)/factor_trimestre),((NºAsuntos!I13/NºAsuntos!G13)*11)/factor_trimestre," - ")</f>
        <v>9.5375271149674621</v>
      </c>
      <c r="AP13" s="913" t="str">
        <f>IF(ISNUMBER(Datos!CI13/Datos!CJ13),Datos!CI13/Datos!CJ13," - ")</f>
        <v xml:space="preserve"> - </v>
      </c>
      <c r="AQ13" s="931">
        <f t="shared" ref="AQ13:AV13" si="3">SUBTOTAL(9,AQ9:AQ12)</f>
        <v>0</v>
      </c>
      <c r="AR13" s="931">
        <f t="shared" si="3"/>
        <v>-3.1524573281623169E-2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2906</v>
      </c>
      <c r="G16" s="228">
        <f>IF(ISNUMBER(IF(D_I="SI",Datos!I16,Datos!I16+Datos!AC16)),IF(D_I="SI",Datos!I16,Datos!I16+Datos!AC16)," - ")</f>
        <v>2906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2287</v>
      </c>
      <c r="Z16" s="622">
        <f>IF(ISNUMBER(Datos!Q16),Datos!Q16," - ")</f>
        <v>47</v>
      </c>
      <c r="AA16" s="335">
        <f>IF(ISNUMBER(IF(D_I="SI",Datos!L16,Datos!L16+Datos!AF16)),IF(D_I="SI",Datos!L16,Datos!L16+Datos!AF16)," - ")</f>
        <v>3198</v>
      </c>
      <c r="AB16" s="337"/>
      <c r="AC16" s="337"/>
      <c r="AD16" s="487"/>
      <c r="AE16" s="487">
        <f>IF(ISNUMBER(Datos!R16),Datos!R16," - ")</f>
        <v>326</v>
      </c>
      <c r="AF16" s="232" t="str">
        <f>IF(ISNUMBER(Datos!BV16),Datos!BV16," - ")</f>
        <v xml:space="preserve"> - </v>
      </c>
      <c r="AG16" s="228"/>
      <c r="AH16" s="301"/>
      <c r="AI16" s="230"/>
      <c r="AJ16" s="228">
        <f>IF(ISNUMBER(Datos!M16),Datos!M16," - ")</f>
        <v>235</v>
      </c>
      <c r="AK16" s="232">
        <f>IF(ISNUMBER(Datos!N16),Datos!N16," - ")</f>
        <v>1662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4.1950153038915614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207</v>
      </c>
      <c r="Z17" s="622">
        <f>IF(ISNUMBER(Datos!Q17),Datos!Q17," - ")</f>
        <v>1</v>
      </c>
      <c r="AA17" s="335">
        <f>IF(ISNUMBER(Datos!L17),Datos!L17,"-")</f>
        <v>264</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18</v>
      </c>
      <c r="AK17" s="232">
        <f>IF(ISNUMBER(Datos!N17),Datos!N17," - ")</f>
        <v>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3.8260869565217388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2906</v>
      </c>
      <c r="G18" s="901">
        <f>SUBTOTAL(9,G15:G17)</f>
        <v>3131</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2494</v>
      </c>
      <c r="Z18" s="935">
        <f t="shared" si="5"/>
        <v>48</v>
      </c>
      <c r="AA18" s="935">
        <f t="shared" si="5"/>
        <v>3462</v>
      </c>
      <c r="AB18" s="935">
        <f t="shared" si="5"/>
        <v>0</v>
      </c>
      <c r="AC18" s="935">
        <f t="shared" si="5"/>
        <v>0</v>
      </c>
      <c r="AD18" s="935">
        <f t="shared" si="5"/>
        <v>0</v>
      </c>
      <c r="AE18" s="935">
        <f t="shared" si="5"/>
        <v>332</v>
      </c>
      <c r="AF18" s="935">
        <f t="shared" si="5"/>
        <v>0</v>
      </c>
      <c r="AG18" s="935">
        <f t="shared" si="5"/>
        <v>0</v>
      </c>
      <c r="AH18" s="935">
        <f t="shared" si="5"/>
        <v>0</v>
      </c>
      <c r="AI18" s="935">
        <f t="shared" si="5"/>
        <v>0</v>
      </c>
      <c r="AJ18" s="935">
        <f t="shared" si="5"/>
        <v>253</v>
      </c>
      <c r="AK18" s="935">
        <f t="shared" si="5"/>
        <v>1759</v>
      </c>
      <c r="AL18" s="935">
        <f t="shared" si="5"/>
        <v>0</v>
      </c>
      <c r="AM18" s="935">
        <f t="shared" si="5"/>
        <v>0</v>
      </c>
      <c r="AN18" s="935">
        <f t="shared" si="5"/>
        <v>0</v>
      </c>
      <c r="AO18" s="937">
        <f>IF(ISNUMBER(((NºAsuntos!I18/NºAsuntos!G18)*11)/factor_trimestre),((NºAsuntos!I18/NºAsuntos!G18)*11)/factor_trimestre," - ")</f>
        <v>4.1643945469125905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2969</v>
      </c>
      <c r="G19" s="823">
        <f t="shared" si="7"/>
        <v>3194</v>
      </c>
      <c r="H19" s="824">
        <f t="shared" si="7"/>
        <v>0</v>
      </c>
      <c r="I19" s="823">
        <f t="shared" si="7"/>
        <v>0</v>
      </c>
      <c r="J19" s="825">
        <f t="shared" si="7"/>
        <v>0</v>
      </c>
      <c r="K19" s="823">
        <f t="shared" si="7"/>
        <v>0</v>
      </c>
      <c r="L19" s="826">
        <f t="shared" si="7"/>
        <v>0</v>
      </c>
      <c r="M19" s="823">
        <f t="shared" si="7"/>
        <v>0</v>
      </c>
      <c r="N19" s="824">
        <f t="shared" si="7"/>
        <v>695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2515</v>
      </c>
      <c r="Z19" s="830">
        <f t="shared" si="8"/>
        <v>540</v>
      </c>
      <c r="AA19" s="831">
        <f t="shared" si="8"/>
        <v>3537</v>
      </c>
      <c r="AB19" s="831">
        <f t="shared" si="8"/>
        <v>0</v>
      </c>
      <c r="AC19" s="831">
        <f t="shared" si="8"/>
        <v>0</v>
      </c>
      <c r="AD19" s="832">
        <f t="shared" si="8"/>
        <v>0</v>
      </c>
      <c r="AE19" s="832">
        <f t="shared" si="8"/>
        <v>9821</v>
      </c>
      <c r="AF19" s="833">
        <f t="shared" si="8"/>
        <v>0</v>
      </c>
      <c r="AG19" s="834">
        <f t="shared" si="8"/>
        <v>0</v>
      </c>
      <c r="AH19" s="835">
        <f t="shared" si="8"/>
        <v>0</v>
      </c>
      <c r="AI19" s="833">
        <f t="shared" si="8"/>
        <v>0</v>
      </c>
      <c r="AJ19" s="823">
        <f t="shared" si="8"/>
        <v>735</v>
      </c>
      <c r="AK19" s="823">
        <f t="shared" si="8"/>
        <v>2578</v>
      </c>
      <c r="AL19" s="823">
        <f t="shared" si="8"/>
        <v>0</v>
      </c>
      <c r="AM19" s="836">
        <f t="shared" si="8"/>
        <v>0</v>
      </c>
      <c r="AN19" s="826">
        <f>IF(ISNUMBER(Datos!K19/Datos!J19),Datos!K19/Datos!J19," - ")</f>
        <v>0.87910419434427789</v>
      </c>
      <c r="AO19" s="826">
        <f>IF(ISNUMBER(FIND("06",Criterios!A8,1)),(IF(ISNUMBER(((Datos!R19/Datos!Q19)*11)/factor_trimestre),((Datos!R19/Datos!Q19)*11)/factor_trimestre," - ")),(IF(ISNUMBER(((Datos!L19/Datos!K19)*11)/factor_trimestre),((Datos!L19/Datos!K19)*11)/factor_trimestre," - ")))</f>
        <v>6.9022020725388602</v>
      </c>
      <c r="AP19" s="837" t="str">
        <f>IF(ISNUMBER(Datos!CI19/Datos!CJ19),Datos!CI19/Datos!CJ19," - ")</f>
        <v xml:space="preserve"> - </v>
      </c>
      <c r="AQ19" s="837">
        <f>IF(OR(ISNUMBER(FIND("01",Criterios!A8,1)),ISNUMBER(FIND("02",Criterios!A8,1)),ISNUMBER(FIND("03",Criterios!A8,1)),ISNUMBER(FIND("04",Criterios!A8,1))),(J19-Y19+K19)/(F19-K19),(I19-Y19+K19)/(F19-K19))</f>
        <v>-0.84708656113169423</v>
      </c>
      <c r="AR19" s="837">
        <f>IF(ISNUMBER((Datos!P19-Datos!Q19+O19)/(Datos!R19-Datos!P19+Datos!Q19-O19)),(Datos!P19-Datos!Q19+O19)/(Datos!R19-Datos!P19+Datos!Q19-O19)," - ")</f>
        <v>1.6035588661286987E-2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1277.5999999999999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1641.4068153061062</v>
      </c>
      <c r="G21" s="555">
        <f>IF(ISNUMBER(STDEV(G8:G18)),STDEV(G8:G18),"-")</f>
        <v>1592.5805474135366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208.0730640904776</v>
      </c>
      <c r="AK21" s="255"/>
      <c r="AL21" s="255">
        <f>IF(ISNUMBER(STDEV(AL8:AL18)),STDEV(AL8:AL18),"-")</f>
        <v>0</v>
      </c>
      <c r="AM21" s="257">
        <f>IF(ISNUMBER(STDEV(AM8:AM18)),STDEV(AM8:AM18),"-")</f>
        <v>0</v>
      </c>
      <c r="AN21" s="542">
        <f>IF(ISNUMBER(STDEV(AN8:AN18)),STDEV(AN8:AN18),"-")</f>
        <v>0</v>
      </c>
      <c r="AO21" s="543">
        <f>IF(ISNUMBER(STDEV(AO8:AO18)),STDEV(AO8:AO18),"-")</f>
        <v>3.2434956086443476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GifCH3wQ2SoooumAIiNipFioxyGT0nrIk96c1Yrm853T3ySr9H78LyQDi84aX6XxL3wS8/OnZGoohzegAt8zQ==" saltValue="UnIO4yoDOVYTSOk+iZH3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gHTPo2GPGRb3mqOj55VOqofbLzYxoi4J/qux6PGF7W3BKKkSNmQ+MMRvJGdkvotqPorpwb2mHdiDOL+zuGEUQ==" saltValue="oKrChlzOuY9hWckpbnwq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2CC91Xwm+//cav1HBKh5iFMgrXifB/kyrf09Wp3L6MQZLYb4RNm1vP0IUpW5YSY01mCHND/KczbBlGZbd1kw==" saltValue="Cw0ivI0JBgHHmoOLtruf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MANRESA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0.20911062906724512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0.1478635438316338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Zsi2RHw06OV5FWKhreqwFtCZ+arWEGkXUJWugtzj7WXNrhkC4y8jWZ2EA53d4aEPkYRCz6pK408iVTtuqfHew==" saltValue="FBVNyAzpdLx1ItDzuFqB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hDgm3HrlQRNNK48f+tsQUO/m6Qfi5MjC09eqxJHVhlHuH1w4GNhn92fYlfiyDxWYjpLDNQ7g+NYTQE18YXhag==" saltValue="YEZzvXOzm8hz3sx0+hxa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MANRESA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63</v>
      </c>
      <c r="D10" s="407">
        <f>IF(ISNUMBER(C10/Datos!BH10),C10/Datos!BH10," - ")</f>
        <v>63</v>
      </c>
      <c r="E10" s="406">
        <f>IF(ISNUMBER(Datos!J10),Datos!J10," - ")</f>
        <v>33</v>
      </c>
      <c r="F10" s="407">
        <f>IF(ISNUMBER(E10/B10),E10/B10," - ")</f>
        <v>33</v>
      </c>
      <c r="G10" s="406">
        <f>IF(ISNUMBER(Datos!K10),Datos!K10," - ")</f>
        <v>21</v>
      </c>
      <c r="H10" s="407">
        <f>IF(ISNUMBER(G10/B10),G10/B10," - ")</f>
        <v>21</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6936</v>
      </c>
      <c r="D12" s="407">
        <f>IF(ISNUMBER(C12/Datos!BH12),C12/Datos!BH12," - ")</f>
        <v>867</v>
      </c>
      <c r="E12" s="406">
        <f>IF(ISNUMBER(IF(J_V="SI",Datos!J12,Datos!J12+Datos!Z12)),IF(J_V="SI",Datos!J12,Datos!J12+Datos!Z12)," - ")</f>
        <v>2602</v>
      </c>
      <c r="F12" s="407">
        <f>IF(ISNUMBER(E12/B12),E12/B12," - ")</f>
        <v>325.25</v>
      </c>
      <c r="G12" s="406">
        <f>IF(ISNUMBER(IF(J_V="SI",Datos!K12,Datos!K12+Datos!AA12)),IF(J_V="SI",Datos!K12,Datos!K12+Datos!AA12)," - ")</f>
        <v>2284</v>
      </c>
      <c r="H12" s="407">
        <f>IF(ISNUMBER(G12/B12),G12/B12," - ")</f>
        <v>285.5</v>
      </c>
      <c r="I12" s="406">
        <f>IF(ISNUMBER(IF(J_V="SI",Datos!L12,Datos!L12+Datos!AB12)),IF(J_V="SI",Datos!L12,Datos!L12+Datos!AB12)," - ")</f>
        <v>7253</v>
      </c>
      <c r="J12" s="407">
        <f>IF(ISNUMBER(I12/B12),I12/B12," - ")</f>
        <v>906.625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6999</v>
      </c>
      <c r="D13" s="853" t="str">
        <f>IF(ISNUMBER(C13/Datos!BI13),C13/Datos!BI13," - ")</f>
        <v xml:space="preserve"> - </v>
      </c>
      <c r="E13" s="852">
        <f>SUBTOTAL(9,E8:E12)</f>
        <v>2635</v>
      </c>
      <c r="F13" s="853">
        <f>IF(ISNUMBER(E13/B13),E13/B13," - ")</f>
        <v>292.77777777777777</v>
      </c>
      <c r="G13" s="852">
        <f>SUBTOTAL(9,G8:G12)</f>
        <v>2305</v>
      </c>
      <c r="H13" s="853">
        <f>IF(ISNUMBER(G13/B13),G13/B13," - ")</f>
        <v>256.11111111111109</v>
      </c>
      <c r="I13" s="852">
        <f>SUBTOTAL(9,I8:I12)</f>
        <v>7328</v>
      </c>
      <c r="J13" s="853">
        <f>IF(ISNUMBER(I13/B13),I13/B13," - ")</f>
        <v>814.22222222222217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2906</v>
      </c>
      <c r="D16" s="407">
        <f>IF(ISNUMBER(C16/Datos!BH16),C16/Datos!BH16," - ")</f>
        <v>363.25</v>
      </c>
      <c r="E16" s="406">
        <f>IF(ISNUMBER(IF(D_I="SI",Datos!J16,Datos!J16+Datos!AD16)),IF(D_I="SI",Datos!J16,Datos!J16+Datos!AD16)," - ")</f>
        <v>2579</v>
      </c>
      <c r="F16" s="407">
        <f>IF(ISNUMBER(E16/B16),E16/B16," - ")</f>
        <v>322.375</v>
      </c>
      <c r="G16" s="406">
        <f>IF(ISNUMBER(IF(D_I="SI",Datos!K16,Datos!K16+Datos!AE16)),IF(D_I="SI",Datos!K16,Datos!K16+Datos!AE16)," - ")</f>
        <v>2287</v>
      </c>
      <c r="H16" s="407">
        <f>IF(ISNUMBER(G16/B16),G16/B16," - ")</f>
        <v>285.875</v>
      </c>
      <c r="I16" s="406">
        <f>IF(ISNUMBER(IF(D_I="SI",Datos!L16,Datos!L16+Datos!AF16)),IF(D_I="SI",Datos!L16,Datos!L16+Datos!AF16)," - ")</f>
        <v>3198</v>
      </c>
      <c r="J16" s="407">
        <f>IF(ISNUMBER(I16/B16),I16/B16," - ")</f>
        <v>399.75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225</v>
      </c>
      <c r="D17" s="407">
        <f>IF(ISNUMBER(C17/Datos!BH17),C17/Datos!BH17," - ")</f>
        <v>225</v>
      </c>
      <c r="E17" s="406">
        <f>IF(ISNUMBER(IF(D_I="SI",Datos!J17,Datos!J17+Datos!AD17)),IF(D_I="SI",Datos!J17,Datos!J17+Datos!AD17)," - ")</f>
        <v>246</v>
      </c>
      <c r="F17" s="407">
        <f>IF(ISNUMBER(E17/B17),E17/B17," - ")</f>
        <v>246</v>
      </c>
      <c r="G17" s="406">
        <f>IF(ISNUMBER(IF(D_I="SI",Datos!K17,Datos!K17+Datos!AE17)),IF(D_I="SI",Datos!K17,Datos!K17+Datos!AE17)," - ")</f>
        <v>207</v>
      </c>
      <c r="H17" s="407">
        <f>IF(ISNUMBER(G17/B17),G17/B17," - ")</f>
        <v>207</v>
      </c>
      <c r="I17" s="406">
        <f>IF(ISNUMBER(IF(D_I="SI",Datos!L17,Datos!L17+Datos!AF17)),IF(D_I="SI",Datos!L17,Datos!L17+Datos!AF17)," - ")</f>
        <v>264</v>
      </c>
      <c r="J17" s="407">
        <f>IF(ISNUMBER(I17/B17),I17/B17," - ")</f>
        <v>264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3131</v>
      </c>
      <c r="D18" s="853" t="str">
        <f>IF(ISNUMBER(C18/Datos!BI18),C18/Datos!BI18," - ")</f>
        <v xml:space="preserve"> - </v>
      </c>
      <c r="E18" s="852">
        <f>SUBTOTAL(9,E14:E17)</f>
        <v>2825</v>
      </c>
      <c r="F18" s="853">
        <f>IF(ISNUMBER(E18/B18),E18/B18," - ")</f>
        <v>313.88888888888891</v>
      </c>
      <c r="G18" s="852">
        <f>SUBTOTAL(9,G14:G17)</f>
        <v>2494</v>
      </c>
      <c r="H18" s="853">
        <f>IF(ISNUMBER(G18/B18),G18/B18," - ")</f>
        <v>277.11111111111109</v>
      </c>
      <c r="I18" s="852">
        <f>SUBTOTAL(9,I14:I17)</f>
        <v>3462</v>
      </c>
      <c r="J18" s="853">
        <f>IF(ISNUMBER(I18/B18),I18/B18," - ")</f>
        <v>384.66666666666669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10130</v>
      </c>
      <c r="D19" s="798" t="str">
        <f>IF(ISNUMBER(C19/Datos!BI19),C19/Datos!BI19," - ")</f>
        <v xml:space="preserve"> - </v>
      </c>
      <c r="E19" s="797">
        <f>SUBTOTAL(9,E9:E18)</f>
        <v>5460</v>
      </c>
      <c r="F19" s="798">
        <f>IF(ISNUMBER(E19/B19),E19/B19," - ")</f>
        <v>606.66666666666663</v>
      </c>
      <c r="G19" s="797">
        <f>SUBTOTAL(9,G9:G18)</f>
        <v>4799</v>
      </c>
      <c r="H19" s="798">
        <f>IF(ISNUMBER(G19/B19),G19/B19," - ")</f>
        <v>533.22222222222217</v>
      </c>
      <c r="I19" s="797">
        <f>SUBTOTAL(9,I9:I18)</f>
        <v>10790</v>
      </c>
      <c r="J19" s="798">
        <f>IF(ISNUMBER(I19/B19),I19/B19," - ")</f>
        <v>1198.8888888888889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X890oiUQFaVNFcZWksXU/6Oe5M5vFB6chSBB6WB6ciloi/Q3JQi/njYdPKjYGES8i5miCUzJ1EMSivRj+aXeA==" saltValue="lcOvUGdEc37PLJ2USE4q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MANRESA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63</v>
      </c>
      <c r="G10" s="687">
        <f>IF(ISNUMBER(Datos!I10),Datos!I10," - ")</f>
        <v>63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10.714285714285715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474</v>
      </c>
      <c r="AM12" s="693">
        <f>IF(ISNUMBER(Datos!N12+DatosP!N16),Datos!N12+DatosP!N16," - ")</f>
        <v>806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9.526707530647986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1.8980477223427331E-2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63</v>
      </c>
      <c r="G13" s="941">
        <f t="shared" si="0"/>
        <v>63</v>
      </c>
      <c r="H13" s="941">
        <f t="shared" si="0"/>
        <v>0</v>
      </c>
      <c r="I13" s="943">
        <f t="shared" si="0"/>
        <v>0</v>
      </c>
      <c r="J13" s="942">
        <f t="shared" si="0"/>
        <v>0</v>
      </c>
      <c r="K13" s="942">
        <f t="shared" si="0"/>
        <v>0</v>
      </c>
      <c r="L13" s="944">
        <f t="shared" si="0"/>
        <v>0</v>
      </c>
      <c r="M13" s="944">
        <f t="shared" si="0"/>
        <v>0</v>
      </c>
      <c r="N13" s="942">
        <f t="shared" si="0"/>
        <v>662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478</v>
      </c>
      <c r="AE13" s="942">
        <f t="shared" si="1"/>
        <v>0</v>
      </c>
      <c r="AF13" s="942">
        <f t="shared" si="1"/>
        <v>75</v>
      </c>
      <c r="AG13" s="942">
        <f t="shared" si="1"/>
        <v>0</v>
      </c>
      <c r="AH13" s="942">
        <f t="shared" si="1"/>
        <v>9395</v>
      </c>
      <c r="AI13" s="942">
        <f t="shared" si="1"/>
        <v>0</v>
      </c>
      <c r="AJ13" s="942">
        <f t="shared" si="1"/>
        <v>0</v>
      </c>
      <c r="AK13" s="942">
        <f t="shared" si="1"/>
        <v>0</v>
      </c>
      <c r="AL13" s="942">
        <f t="shared" si="1"/>
        <v>482</v>
      </c>
      <c r="AM13" s="942">
        <f t="shared" si="1"/>
        <v>819</v>
      </c>
      <c r="AN13" s="942">
        <f t="shared" si="1"/>
        <v>0</v>
      </c>
      <c r="AO13" s="942">
        <f t="shared" si="1"/>
        <v>0</v>
      </c>
      <c r="AP13" s="947">
        <f>IF(ISNUMBER(((Datos!L13/Datos!K13)*11)/factor_trimestre),((Datos!L13/Datos!K13)*11)/factor_trimestre," - ")</f>
        <v>10.095884003741816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1.8980477223427331E-2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4.1643945469125905</v>
      </c>
      <c r="AQ18" s="947">
        <f>IF(ISNUMBER(((Datos!M18/Datos!L18)*11)/factor_trimestre),((Datos!M18/Datos!L18)*11)/factor_trimestre," - ")</f>
        <v>0.21923743500866555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-4.3227665706051875E-2</v>
      </c>
      <c r="AW18" s="949">
        <f>IF(ISNUMBER((Datos!Q18-Datos!R18)/(Datos!S18-Datos!Q18+Datos!R18)),(Datos!Q18-Datos!R18)/(Datos!S18-Datos!Q18+Datos!R18)," - ")</f>
        <v>-0.11203155818540433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63</v>
      </c>
      <c r="G19" s="954">
        <f t="shared" si="4"/>
        <v>63</v>
      </c>
      <c r="H19" s="954">
        <f t="shared" si="4"/>
        <v>0</v>
      </c>
      <c r="I19" s="955">
        <f t="shared" si="4"/>
        <v>0</v>
      </c>
      <c r="J19" s="956">
        <f t="shared" si="4"/>
        <v>0</v>
      </c>
      <c r="K19" s="956">
        <f t="shared" si="4"/>
        <v>0</v>
      </c>
      <c r="L19" s="956">
        <f t="shared" si="4"/>
        <v>0</v>
      </c>
      <c r="M19" s="956">
        <f t="shared" si="4"/>
        <v>0</v>
      </c>
      <c r="N19" s="955">
        <f t="shared" si="4"/>
        <v>662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478</v>
      </c>
      <c r="AE19" s="960">
        <f t="shared" si="5"/>
        <v>0</v>
      </c>
      <c r="AF19" s="961">
        <f t="shared" si="5"/>
        <v>75</v>
      </c>
      <c r="AG19" s="961">
        <f t="shared" si="5"/>
        <v>0</v>
      </c>
      <c r="AH19" s="961">
        <f t="shared" si="5"/>
        <v>9395</v>
      </c>
      <c r="AI19" s="961">
        <f t="shared" si="5"/>
        <v>0</v>
      </c>
      <c r="AJ19" s="962">
        <f t="shared" si="5"/>
        <v>0</v>
      </c>
      <c r="AK19" s="962">
        <f t="shared" si="5"/>
        <v>0</v>
      </c>
      <c r="AL19" s="954">
        <f t="shared" si="5"/>
        <v>482</v>
      </c>
      <c r="AM19" s="954">
        <f t="shared" si="5"/>
        <v>819</v>
      </c>
      <c r="AN19" s="954">
        <f t="shared" si="5"/>
        <v>0</v>
      </c>
      <c r="AO19" s="954">
        <f t="shared" si="5"/>
        <v>0</v>
      </c>
      <c r="AP19" s="954">
        <f>IF(ISNUMBER(((Datos!L19/Datos!K19)*11)/factor_trimestre),((Datos!L19/Datos!K19)*11)/factor_trimestre," - ")</f>
        <v>6.9022020725388602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1.6035588661286987E-2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36.373066958946424</v>
      </c>
      <c r="G21" s="740">
        <f>IF(ISNUMBER(STDEV(G8:G18)),STDEV(G8:G18),"-")</f>
        <v>36.373066958946424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273.70300205392948</v>
      </c>
      <c r="AM21" s="739"/>
      <c r="AN21" s="739">
        <f>IF(ISNUMBER(STDEV(AN8:AN18)),STDEV(AN8:AN18),"-")</f>
        <v>0</v>
      </c>
      <c r="AO21" s="745">
        <f>IF(ISNUMBER(STDEV(AO8:AO18)),STDEV(AO8:AO18),"-")</f>
        <v>0</v>
      </c>
      <c r="AP21" s="782">
        <f>IF(ISNUMBER(STDEV(AP8:AP18)),STDEV(AP8:AP18),"-")</f>
        <v>3.0132314670995242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VGGEfgP7VkHnONoX0vRv9IH7Hjy3JqEeLRcsv/woGvnPJ71KpCo1oD7BWEnNBwQ6LByTRv5xD/UuUOzu/Feog==" saltValue="cpL070IxRmPmaurp0loE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MANRESA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X79WYW1qf6LkPOo61QMRTv0altlJV/FiZRzwRwJV0P6gQvEr1hwlvTeA5CZvZ58dccvrviyAAmy7N++hTbbg==" saltValue="6dYS1DvbjQI4D7XiqVGL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MANRESA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8</v>
      </c>
      <c r="E10" s="407">
        <f>IF(ISNUMBER(D10/B10),D10/B10," - ")</f>
        <v>8</v>
      </c>
      <c r="F10" s="406">
        <f>IF(ISNUMBER(Datos!N10),Datos!N10," - ")</f>
        <v>13</v>
      </c>
      <c r="G10" s="407">
        <f>IF(ISNUMBER(F10/B10),F10/B10," - ")</f>
        <v>13</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474</v>
      </c>
      <c r="E12" s="407">
        <f t="shared" si="0"/>
        <v>59.25</v>
      </c>
      <c r="F12" s="406">
        <f>IF(ISNUMBER(Datos!N12),Datos!N12," - ")</f>
        <v>806</v>
      </c>
      <c r="G12" s="407">
        <f t="shared" si="1"/>
        <v>100.75</v>
      </c>
      <c r="H12" s="406">
        <f>IF(ISNUMBER(Datos!O12),Datos!O12," - ")</f>
        <v>1209</v>
      </c>
      <c r="I12" s="407">
        <f t="shared" si="2"/>
        <v>151.125</v>
      </c>
    </row>
    <row r="13" spans="1:9" ht="14.25" thickTop="1" thickBot="1">
      <c r="A13" s="851" t="str">
        <f>Datos!A13</f>
        <v>TOTAL</v>
      </c>
      <c r="B13" s="852">
        <f>Datos!AO13</f>
        <v>9</v>
      </c>
      <c r="C13" s="854">
        <f>Datos!AR13</f>
        <v>9</v>
      </c>
      <c r="D13" s="852">
        <f>SUBTOTAL(9,D9:D12)</f>
        <v>482</v>
      </c>
      <c r="E13" s="853">
        <f t="shared" si="0"/>
        <v>53.555555555555557</v>
      </c>
      <c r="F13" s="852">
        <f>SUBTOTAL(9,F9:F12)</f>
        <v>819</v>
      </c>
      <c r="G13" s="853">
        <f t="shared" si="1"/>
        <v>91</v>
      </c>
      <c r="H13" s="852">
        <f>SUBTOTAL(9,H9:H12)</f>
        <v>1220</v>
      </c>
      <c r="I13" s="853">
        <f>IF(ISNUMBER(H13/B13),H13/B13," - ")</f>
        <v>135.55555555555554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235</v>
      </c>
      <c r="E16" s="407">
        <f t="shared" si="3"/>
        <v>29.375</v>
      </c>
      <c r="F16" s="406">
        <f>IF(ISNUMBER(Datos!N16),Datos!N16," - ")</f>
        <v>1662</v>
      </c>
      <c r="G16" s="407">
        <f t="shared" si="4"/>
        <v>207.75</v>
      </c>
      <c r="H16" s="406">
        <f>IF(ISNUMBER(Datos!O16),Datos!O16," - ")</f>
        <v>35</v>
      </c>
      <c r="I16" s="407">
        <f t="shared" si="5"/>
        <v>4.375</v>
      </c>
    </row>
    <row r="17" spans="1:9" ht="13.5" thickBot="1">
      <c r="A17" s="405" t="str">
        <f>Datos!A17</f>
        <v>Jdos. Violencia contra la mujer</v>
      </c>
      <c r="B17" s="430">
        <f>Datos!AO17</f>
        <v>1</v>
      </c>
      <c r="C17" s="431">
        <f>Datos!AQ17</f>
        <v>1</v>
      </c>
      <c r="D17" s="406">
        <f>IF(ISNUMBER(Datos!M17),Datos!M17," - ")</f>
        <v>18</v>
      </c>
      <c r="E17" s="407">
        <f>IF(ISNUMBER(D17/B17),D17/B17," - ")</f>
        <v>18</v>
      </c>
      <c r="F17" s="406">
        <f>IF(ISNUMBER(Datos!N17),Datos!N17," - ")</f>
        <v>97</v>
      </c>
      <c r="G17" s="407">
        <f>IF(ISNUMBER(F17/B17),F17/B17," - ")</f>
        <v>97</v>
      </c>
      <c r="H17" s="406">
        <f>IF(ISNUMBER(Datos!O17),Datos!O17," - ")</f>
        <v>0</v>
      </c>
      <c r="I17" s="407">
        <f t="shared" si="5"/>
        <v>0</v>
      </c>
    </row>
    <row r="18" spans="1:9" ht="14.25" thickTop="1" thickBot="1">
      <c r="A18" s="851" t="str">
        <f>Datos!A18</f>
        <v>TOTAL</v>
      </c>
      <c r="B18" s="852">
        <f>Datos!AO18</f>
        <v>9</v>
      </c>
      <c r="C18" s="854">
        <f>Datos!AR18</f>
        <v>9</v>
      </c>
      <c r="D18" s="852">
        <f>SUBTOTAL(9,D15:D17)</f>
        <v>253</v>
      </c>
      <c r="E18" s="853">
        <f t="shared" si="3"/>
        <v>28.111111111111111</v>
      </c>
      <c r="F18" s="852">
        <f>SUBTOTAL(9,F15:F17)</f>
        <v>1759</v>
      </c>
      <c r="G18" s="853">
        <f t="shared" si="4"/>
        <v>195.44444444444446</v>
      </c>
      <c r="H18" s="852">
        <f>SUBTOTAL(9,H15:H17)</f>
        <v>35</v>
      </c>
      <c r="I18" s="853">
        <f>IF(ISNUMBER(H18/B18),H18/B18," - ")</f>
        <v>3.8888888888888888</v>
      </c>
    </row>
    <row r="19" spans="1:9" ht="14.25" thickTop="1" thickBot="1">
      <c r="A19" s="796" t="str">
        <f>Datos!A19</f>
        <v>TOTAL JURISDICCIONES</v>
      </c>
      <c r="B19" s="797">
        <f>Datos!AP19</f>
        <v>9</v>
      </c>
      <c r="C19" s="797">
        <f>Datos!AR19</f>
        <v>9</v>
      </c>
      <c r="D19" s="797">
        <f>SUBTOTAL(9,D8:D18)</f>
        <v>735</v>
      </c>
      <c r="E19" s="798">
        <f>IF(ISNUMBER(D19/B19),D19/B19," - ")</f>
        <v>81.666666666666671</v>
      </c>
      <c r="F19" s="797">
        <f>SUBTOTAL(9,F8:F18)</f>
        <v>2578</v>
      </c>
      <c r="G19" s="798">
        <f>IF(ISNUMBER(F19/B19),F19/B19," - ")</f>
        <v>286.44444444444446</v>
      </c>
      <c r="H19" s="797">
        <f>SUBTOTAL(9,H8:H18)</f>
        <v>1255</v>
      </c>
      <c r="I19" s="798">
        <f>IF(ISNUMBER(H19/B19),H19/B19," - ")</f>
        <v>139.44444444444446</v>
      </c>
    </row>
    <row r="22" spans="1:9">
      <c r="A22" s="394" t="str">
        <f>Criterios!A4</f>
        <v>Fecha Informe: 07 mar. 2024</v>
      </c>
    </row>
    <row r="27" spans="1:9">
      <c r="A27" s="417"/>
    </row>
  </sheetData>
  <sheetProtection algorithmName="SHA-512" hashValue="l0+Gpn92yW1LXPQFEVdq57l9uLvKe1dR5GX1Cr+aSVt8A/9YZfNEDfE/I88gYncWaPsqRW+JhXqP9QyisBKCew==" saltValue="EjybEFmX4PS2g7v84RNg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MANRESA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14</v>
      </c>
      <c r="D10" s="411">
        <f>IF(ISNUMBER(Datos!R10),Datos!R10," - ")</f>
        <v>94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653</v>
      </c>
      <c r="C12" s="437">
        <f>IF(ISNUMBER(Datos!Q12),Datos!Q12," - ")</f>
        <v>478</v>
      </c>
      <c r="D12" s="411">
        <f>IF(ISNUMBER(Datos!R12),Datos!R12," - ")</f>
        <v>9395</v>
      </c>
    </row>
    <row r="13" spans="1:4" ht="14.25" thickTop="1" thickBot="1">
      <c r="A13" s="851" t="str">
        <f>Datos!A13</f>
        <v>TOTAL</v>
      </c>
      <c r="B13" s="852">
        <f>SUBTOTAL(9,B9:B12)</f>
        <v>662</v>
      </c>
      <c r="C13" s="856">
        <f>SUBTOTAL(9,C9:C12)</f>
        <v>492</v>
      </c>
      <c r="D13" s="854">
        <f>SUBTOTAL(9,D9:D12)</f>
        <v>9489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32</v>
      </c>
      <c r="C16" s="437">
        <f>IF(ISNUMBER(Datos!Q16),Datos!Q16," - ")</f>
        <v>47</v>
      </c>
      <c r="D16" s="411">
        <f>IF(ISNUMBER(Datos!R16),Datos!R16," - ")</f>
        <v>326</v>
      </c>
    </row>
    <row r="17" spans="1:4" ht="13.5" thickBot="1">
      <c r="A17" s="405" t="str">
        <f>Datos!A17</f>
        <v>Jdos. Violencia contra la mujer</v>
      </c>
      <c r="B17" s="436">
        <f>IF(ISNUMBER(Datos!P17),Datos!P17," - ")</f>
        <v>1</v>
      </c>
      <c r="C17" s="437">
        <f>IF(ISNUMBER(Datos!Q17),Datos!Q17," - ")</f>
        <v>1</v>
      </c>
      <c r="D17" s="411">
        <f>IF(ISNUMBER(Datos!R17),Datos!R17," - ")</f>
        <v>6</v>
      </c>
    </row>
    <row r="18" spans="1:4" ht="14.25" thickTop="1" thickBot="1">
      <c r="A18" s="851" t="str">
        <f>Datos!A18</f>
        <v>TOTAL</v>
      </c>
      <c r="B18" s="852">
        <f>SUBTOTAL(9,B15:B17)</f>
        <v>33</v>
      </c>
      <c r="C18" s="856">
        <f>SUBTOTAL(9,C15:C17)</f>
        <v>48</v>
      </c>
      <c r="D18" s="854">
        <f>SUBTOTAL(9,D15:D17)</f>
        <v>332</v>
      </c>
    </row>
    <row r="19" spans="1:4" ht="16.5" customHeight="1" thickTop="1" thickBot="1">
      <c r="A19" s="796" t="str">
        <f>Datos!A19</f>
        <v>TOTAL JURISDICCIONES</v>
      </c>
      <c r="B19" s="801">
        <f>SUBTOTAL(9,B8:B18)</f>
        <v>695</v>
      </c>
      <c r="C19" s="802">
        <f>SUBTOTAL(9,C8:C18)</f>
        <v>540</v>
      </c>
      <c r="D19" s="803">
        <f>SUBTOTAL(9,D8:D18)</f>
        <v>9821</v>
      </c>
    </row>
    <row r="20" spans="1:4" ht="7.5" customHeight="1"/>
    <row r="21" spans="1:4" ht="6" customHeight="1"/>
    <row r="22" spans="1:4">
      <c r="A22" s="394" t="str">
        <f>Criterios!A4</f>
        <v>Fecha Informe: 07 mar. 2024</v>
      </c>
    </row>
    <row r="27" spans="1:4">
      <c r="A27" s="417"/>
    </row>
  </sheetData>
  <sheetProtection algorithmName="SHA-512" hashValue="C/VbAa/2i9o60RCYpw5qeT2FR1uAMhlsxFn85WcgfC9ykfetWGG0VDNmkw92/Coq6FMReDrOhMMjEbDVF7Cd0w==" saltValue="8hYwV9ano0OyMAlKzDI0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MANRESA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0.65</v>
      </c>
      <c r="D10" s="459">
        <f>IF(ISNUMBER((Datos!K10-Datos!U10)/Datos!U10),(Datos!K10-Datos!U10)/Datos!U10," - ")</f>
        <v>-0.16</v>
      </c>
      <c r="E10" s="459">
        <f>IF(ISNUMBER((Datos!L10-Datos!V10)/Datos!V10),(Datos!L10-Datos!V10)/Datos!V10," - ")</f>
        <v>0.29310344827586204</v>
      </c>
      <c r="F10" s="459">
        <f>IF(ISNUMBER((Datos!M10-Datos!W10)/Datos!W10),(Datos!M10-Datos!W10)/Datos!W10," - ")</f>
        <v>-0.46666666666666667</v>
      </c>
      <c r="G10" s="460">
        <f>IF(ISNUMBER((Datos!N10-Datos!X10)/Datos!X10),(Datos!N10-Datos!X10)/Datos!X10," - ")</f>
        <v>-0.23529411764705882</v>
      </c>
      <c r="H10" s="458">
        <f>IF(ISNUMBER(((NºAsuntos!G10/NºAsuntos!E10)-Datos!BD10)/Datos!BD10),((NºAsuntos!G10/NºAsuntos!E10)-Datos!BD10)/Datos!BD10," - ")</f>
        <v>-0.49090909090909091</v>
      </c>
      <c r="I10" s="459">
        <f>IF(ISNUMBER(((NºAsuntos!I10/NºAsuntos!G10)-Datos!BE10)/Datos!BE10),((NºAsuntos!I10/NºAsuntos!G10)-Datos!BE10)/Datos!BE10," - ")</f>
        <v>0.53940886699507407</v>
      </c>
      <c r="J10" s="464">
        <f>IF(ISNUMBER((('Resol  Asuntos'!D10/NºAsuntos!G10)-Datos!BF10)/Datos!BF10),(('Resol  Asuntos'!D10/NºAsuntos!G10)-Datos!BF10)/Datos!BF10," - ")</f>
        <v>-0.36507936507936511</v>
      </c>
      <c r="K10" s="465">
        <f>IF(ISNUMBER((((NºAsuntos!C10+NºAsuntos!E10)/NºAsuntos!G10)-Datos!BG10)/Datos!BG10),(((NºAsuntos!C10+NºAsuntos!E10)/NºAsuntos!G10)-Datos!BG10)/Datos!BG10," - ")</f>
        <v>0.37693631669535282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0.25130795598051597</v>
      </c>
      <c r="C12" s="459">
        <f>IF(ISNUMBER(
   IF(J_V="SI",(Datos!J12-Datos!T12)/Datos!T12,(Datos!J12+Datos!Z12-(Datos!T12+Datos!AH12))/(Datos!T12+Datos!AH12))
     ),IF(J_V="SI",(Datos!J12-Datos!T12)/Datos!T12,(Datos!J12+Datos!Z12-(Datos!T12+Datos!AH12))/(Datos!T12+Datos!AH12))," - ")</f>
        <v>-2.6830203142966655E-3</v>
      </c>
      <c r="D12" s="459">
        <f>IF(ISNUMBER(
   IF(J_V="SI",(Datos!K12-Datos!U12)/Datos!U12,(Datos!K12+Datos!AA12-(Datos!U12+Datos!AI12))/(Datos!U12+Datos!AI12))
     ),IF(J_V="SI",(Datos!K12-Datos!U12)/Datos!U12,(Datos!K12+Datos!AA12-(Datos!U12+Datos!AI12))/(Datos!U12+Datos!AI12))," - ")</f>
        <v>9.6495439270283243E-2</v>
      </c>
      <c r="E12" s="459">
        <f>IF(ISNUMBER(
   IF(J_V="SI",(Datos!L12-Datos!V12)/Datos!V12,(Datos!L12+Datos!AB12-(Datos!V12+Datos!AJ12))/(Datos!V12+Datos!AJ12))
     ),IF(J_V="SI",(Datos!L12-Datos!V12)/Datos!V12,(Datos!L12+Datos!AB12-(Datos!V12+Datos!AJ12))/(Datos!V12+Datos!AJ12))," - ")</f>
        <v>0.19489291598023065</v>
      </c>
      <c r="F12" s="459">
        <f>IF(ISNUMBER((Datos!M12-Datos!W12)/Datos!W12),(Datos!M12-Datos!W12)/Datos!W12," - ")</f>
        <v>0.20610687022900764</v>
      </c>
      <c r="G12" s="460">
        <f>IF(ISNUMBER((Datos!N12-Datos!X12)/Datos!X12),(Datos!N12-Datos!X12)/Datos!X12," - ")</f>
        <v>-8.9265536723163841E-2</v>
      </c>
      <c r="H12" s="458">
        <f>IF(ISNUMBER(((NºAsuntos!G12/NºAsuntos!E12)-Datos!BD12)/Datos!BD12),((NºAsuntos!G12/NºAsuntos!E12)-Datos!BD12)/Datos!BD12," - ")</f>
        <v>9.9445273272931956E-2</v>
      </c>
      <c r="I12" s="459">
        <f>IF(ISNUMBER(((NºAsuntos!I12/NºAsuntos!G12)-Datos!BE12)/Datos!BE12),((NºAsuntos!I12/NºAsuntos!G12)-Datos!BE12)/Datos!BE12," - ")</f>
        <v>8.973815410981642E-2</v>
      </c>
      <c r="J12" s="464">
        <f>IF(ISNUMBER((('Resol  Asuntos'!D12/NºAsuntos!G12)-Datos!BF12)/Datos!BF12),(('Resol  Asuntos'!D12/NºAsuntos!G12)-Datos!BF12)/Datos!BF12," - ")</f>
        <v>-0.51154085903410607</v>
      </c>
      <c r="K12" s="465">
        <f>IF(ISNUMBER((((NºAsuntos!C12+NºAsuntos!E12)/NºAsuntos!G12)-Datos!BG12)/Datos!BG12),(((NºAsuntos!C12+NºAsuntos!E12)/NºAsuntos!G12)-Datos!BG12)/Datos!BG12," - ")</f>
        <v>6.7053801759563131E-2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0.24848376739207992</v>
      </c>
      <c r="C13" s="858">
        <f>IF(ISNUMBER(
   IF(J_V="SI",(Datos!J13-Datos!T13)/Datos!T13,(Datos!J13+Datos!Z13-(Datos!T13+Datos!AH13))/(Datos!T13+Datos!AH13))
     ),IF(J_V="SI",(Datos!J13-Datos!T13)/Datos!T13,(Datos!J13+Datos!Z13-(Datos!T13+Datos!AH13))/(Datos!T13+Datos!AH13))," - ")</f>
        <v>2.2822365918600228E-3</v>
      </c>
      <c r="D13" s="858">
        <f>IF(ISNUMBER(
   IF(J_V="SI",(Datos!K13-Datos!U13)/Datos!U13,(Datos!K13+Datos!AA13-(Datos!U13+Datos!AI13))/(Datos!U13+Datos!AI13))
     ),IF(J_V="SI",(Datos!K13-Datos!U13)/Datos!U13,(Datos!K13+Datos!AA13-(Datos!U13+Datos!AI13))/(Datos!U13+Datos!AI13))," - ")</f>
        <v>9.3453510436432644E-2</v>
      </c>
      <c r="E13" s="858">
        <f>IF(ISNUMBER(
   IF(J_V="SI",(Datos!L13-Datos!V13)/Datos!V13,(Datos!L13+Datos!AB13-(Datos!V13+Datos!AJ13))/(Datos!V13+Datos!AJ13))
     ),IF(J_V="SI",(Datos!L13-Datos!V13)/Datos!V13,(Datos!L13+Datos!AB13-(Datos!V13+Datos!AJ13))/(Datos!V13+Datos!AJ13))," - ")</f>
        <v>0.195822454308094</v>
      </c>
      <c r="F13" s="859">
        <f>IF(ISNUMBER((Datos!M13-Datos!W13)/Datos!W13),(Datos!M13-Datos!W13)/Datos!W13," - ")</f>
        <v>0.18137254901960784</v>
      </c>
      <c r="G13" s="860">
        <f>IF(ISNUMBER((Datos!N13-Datos!X13)/Datos!X13),(Datos!N13-Datos!X13)/Datos!X13," - ")</f>
        <v>-9.2017738359201767E-2</v>
      </c>
      <c r="H13" s="860">
        <f>IF(ISNUMBER(((NºAsuntos!G13/NºAsuntos!E13)-Datos!BD13)/Datos!BD13),((NºAsuntos!G13/NºAsuntos!E13)-Datos!BD13)/Datos!BD13," - ")</f>
        <v>9.0963673221017602E-2</v>
      </c>
      <c r="I13" s="860">
        <f>IF(ISNUMBER(((NºAsuntos!I13/NºAsuntos!G13)-Datos!BE13)/Datos!BE13),((NºAsuntos!I13/NºAsuntos!G13)-Datos!BE13)/Datos!BE13," - ")</f>
        <v>9.3619841076556173E-2</v>
      </c>
      <c r="J13" s="860">
        <f>IF(ISNUMBER((('Resol  Asuntos'!D13/NºAsuntos!G13)-Datos!BF13)/Datos!BF13),(('Resol  Asuntos'!D13/NºAsuntos!G13)-Datos!BF13)/Datos!BF13," - ")</f>
        <v>-0.51021643769583036</v>
      </c>
      <c r="K13" s="860">
        <f>IF(ISNUMBER((((NºAsuntos!C13+NºAsuntos!E13)/NºAsuntos!G13)-Datos!BG13)/Datos!BG13),(((NºAsuntos!C13+NºAsuntos!E13)/NºAsuntos!G13)-Datos!BG13)/Datos!BG13," - ")</f>
        <v>6.9898836641128878E-2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0.38183547313361865</v>
      </c>
      <c r="C16" s="459">
        <f>IF(ISNUMBER(
   IF(D_I="SI",(Datos!J16-Datos!T16)/Datos!T16,(Datos!J16+Datos!AD16-(Datos!T16+Datos!AL16))/(Datos!T16+Datos!AL16))
     ),IF(D_I="SI",(Datos!J16-Datos!T16)/Datos!T16,(Datos!J16+Datos!AD16-(Datos!T16+Datos!AL16))/(Datos!T16+Datos!AL16))," - ")</f>
        <v>0.12081703607127336</v>
      </c>
      <c r="D16" s="459">
        <f>IF(ISNUMBER(
   IF(D_I="SI",(Datos!K16-Datos!U16)/Datos!U16,(Datos!K16+Datos!AE16-(Datos!U16+Datos!AM16))/(Datos!U16+Datos!AM16))
     ),IF(D_I="SI",(Datos!K16-Datos!U16)/Datos!U16,(Datos!K16+Datos!AE16-(Datos!U16+Datos!AM16))/(Datos!U16+Datos!AM16))," - ")</f>
        <v>3.3438770899231814E-2</v>
      </c>
      <c r="E16" s="459">
        <f>IF(ISNUMBER(
   IF(D_I="SI",(Datos!L16-Datos!V16)/Datos!V16,(Datos!L16+Datos!AF16-(Datos!V16+Datos!AN16))/(Datos!V16+Datos!AN16))
     ),IF(D_I="SI",(Datos!L16-Datos!V16)/Datos!V16,(Datos!L16+Datos!AF16-(Datos!V16+Datos!AN16))/(Datos!V16+Datos!AN16))," - ")</f>
        <v>0.45827633378932969</v>
      </c>
      <c r="F16" s="459">
        <f>IF(ISNUMBER((Datos!M16-Datos!W16)/Datos!W16),(Datos!M16-Datos!W16)/Datos!W16," - ")</f>
        <v>-0.22950819672131148</v>
      </c>
      <c r="G16" s="460">
        <f>IF(ISNUMBER((Datos!N16-Datos!X16)/Datos!X16),(Datos!N16-Datos!X16)/Datos!X16," - ")</f>
        <v>6.6067992302758172E-2</v>
      </c>
      <c r="H16" s="458">
        <f>IF(ISNUMBER(((NºAsuntos!G16/NºAsuntos!E16)-Datos!BD16)/Datos!BD16),((NºAsuntos!G16/NºAsuntos!E16)-Datos!BD16)/Datos!BD16," - ")</f>
        <v>-7.7959437053457828E-2</v>
      </c>
      <c r="I16" s="459">
        <f>IF(ISNUMBER(((NºAsuntos!I16/NºAsuntos!G16)-Datos!BE16)/Datos!BE16),((NºAsuntos!I16/NºAsuntos!G16)-Datos!BE16)/Datos!BE16," - ")</f>
        <v>0.41109117913239474</v>
      </c>
      <c r="J16" s="464">
        <f>IF(ISNUMBER((('Resol  Asuntos'!D16/NºAsuntos!G16)-Datos!BF16)/Datos!BF16),(('Resol  Asuntos'!D16/NºAsuntos!G16)-Datos!BF16)/Datos!BF16," - ")</f>
        <v>-0.25443884536259831</v>
      </c>
      <c r="K16" s="465">
        <f>IF(ISNUMBER((((NºAsuntos!C16+NºAsuntos!E16)/NºAsuntos!G16)-Datos!BG16)/Datos!BG16),(((NºAsuntos!C16+NºAsuntos!E16)/NºAsuntos!G16)-Datos!BG16)/Datos!BG16," - ")</f>
        <v>0.20515961758341092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0.52027027027027029</v>
      </c>
      <c r="C17" s="459">
        <f>IF(ISNUMBER(
   IF(D_I="SI",(Datos!J17-Datos!T17)/Datos!T17,(Datos!J17+Datos!AD17-(Datos!T17+Datos!AL17))/(Datos!T17+Datos!AL17))
     ),IF(D_I="SI",(Datos!J17-Datos!T17)/Datos!T17,(Datos!J17+Datos!AD17-(Datos!T17+Datos!AL17))/(Datos!T17+Datos!AL17))," - ")</f>
        <v>0.11818181818181818</v>
      </c>
      <c r="D17" s="459">
        <f>IF(ISNUMBER(
   IF(D_I="SI",(Datos!K17-Datos!U17)/Datos!U17,(Datos!K17+Datos!AE17-(Datos!U17+Datos!AM17))/(Datos!U17+Datos!AM17))
     ),IF(D_I="SI",(Datos!K17-Datos!U17)/Datos!U17,(Datos!K17+Datos!AE17-(Datos!U17+Datos!AM17))/(Datos!U17+Datos!AM17))," - ")</f>
        <v>-7.1748878923766815E-2</v>
      </c>
      <c r="E17" s="459">
        <f>IF(ISNUMBER(
   IF(D_I="SI",(Datos!L17-Datos!V17)/Datos!V17,(Datos!L17+Datos!AF17-(Datos!V17+Datos!AN17))/(Datos!V17+Datos!AN17))
     ),IF(D_I="SI",(Datos!L17-Datos!V17)/Datos!V17,(Datos!L17+Datos!AF17-(Datos!V17+Datos!AN17))/(Datos!V17+Datos!AN17))," - ")</f>
        <v>0.82068965517241377</v>
      </c>
      <c r="F17" s="459">
        <f>IF(ISNUMBER((Datos!M17-Datos!W17)/Datos!W17),(Datos!M17-Datos!W17)/Datos!W17," - ")</f>
        <v>0</v>
      </c>
      <c r="G17" s="460">
        <f>IF(ISNUMBER((Datos!N17-Datos!X17)/Datos!X17),(Datos!N17-Datos!X17)/Datos!X17," - ")</f>
        <v>-8.4905660377358486E-2</v>
      </c>
      <c r="H17" s="458">
        <f>IF(ISNUMBER(((NºAsuntos!G17/NºAsuntos!E17)-Datos!BD17)/Datos!BD17),((NºAsuntos!G17/NºAsuntos!E17)-Datos!BD17)/Datos!BD17," - ")</f>
        <v>-0.16985672098873461</v>
      </c>
      <c r="I17" s="459">
        <f>IF(ISNUMBER(((NºAsuntos!I17/NºAsuntos!G17)-Datos!BE17)/Datos!BE17),((NºAsuntos!I17/NºAsuntos!G17)-Datos!BE17)/Datos!BE17," - ")</f>
        <v>0.96141929035482243</v>
      </c>
      <c r="J17" s="464">
        <f>IF(ISNUMBER((('Resol  Asuntos'!D17/NºAsuntos!G17)-Datos!BF17)/Datos!BF17),(('Resol  Asuntos'!D17/NºAsuntos!G17)-Datos!BF17)/Datos!BF17," - ")</f>
        <v>7.7294685990338174E-2</v>
      </c>
      <c r="K17" s="465">
        <f>IF(ISNUMBER((((NºAsuntos!C17+NºAsuntos!E17)/NºAsuntos!G17)-Datos!BG17)/Datos!BG17),(((NºAsuntos!C17+NºAsuntos!E17)/NºAsuntos!G17)-Datos!BG17)/Datos!BG17," - ")</f>
        <v>0.37882010081915551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0.39093736117281208</v>
      </c>
      <c r="C18" s="858">
        <f>IF(ISNUMBER(
   IF(Criterios!B14="SI",(Datos!J18-Datos!T18)/Datos!T18,(Datos!J18+Datos!AD18-(Datos!T18+Datos!AL18))/(Datos!T18+Datos!AL18))
     ),IF(Criterios!B14="SI",(Datos!J18-Datos!T18)/Datos!T18,(Datos!J18+Datos!AD18-(Datos!T18+Datos!AL18))/(Datos!T18+Datos!AL18))," - ")</f>
        <v>0.12058706862356208</v>
      </c>
      <c r="D18" s="858">
        <f>IF(ISNUMBER(
   IF(Criterios!B14="SI",(Datos!K18-Datos!U18)/Datos!U18,(Datos!K18+Datos!AE18-(Datos!U18+Datos!AM18))/(Datos!U18+Datos!AM18))
     ),IF(Criterios!B14="SI",(Datos!K18-Datos!U18)/Datos!U18,(Datos!K18+Datos!AE18-(Datos!U18+Datos!AM18))/(Datos!U18+Datos!AM18))," - ")</f>
        <v>2.3809523809523808E-2</v>
      </c>
      <c r="E18" s="858">
        <f>IF(ISNUMBER(
   IF(Criterios!B14="SI",(Datos!L18-Datos!V18)/Datos!V18,(Datos!L18+Datos!AF18-(Datos!V18+Datos!AN18))/(Datos!V18+Datos!AN18))
     ),IF(Criterios!B14="SI",(Datos!L18-Datos!V18)/Datos!V18,(Datos!L18+Datos!AF18-(Datos!V18+Datos!AN18))/(Datos!V18+Datos!AN18))," - ")</f>
        <v>0.48075278015397777</v>
      </c>
      <c r="F18" s="859">
        <f>IF(ISNUMBER((Datos!M18-Datos!W18)/Datos!W18),(Datos!M18-Datos!W18)/Datos!W18," - ")</f>
        <v>-0.21671826625386997</v>
      </c>
      <c r="G18" s="860">
        <f>IF(ISNUMBER((Datos!N18-Datos!X18)/Datos!X18),(Datos!N18-Datos!X18)/Datos!X18," - ")</f>
        <v>5.6456456456456458E-2</v>
      </c>
      <c r="H18" s="860">
        <f>IF(ISNUMBER(((NºAsuntos!G18/NºAsuntos!E18)-Datos!BD18)/Datos!BD18),((NºAsuntos!G18/NºAsuntos!E18)-Datos!BD18)/Datos!BD18," - ")</f>
        <v>-8.6363253265908116E-2</v>
      </c>
      <c r="I18" s="860">
        <f>IF(ISNUMBER(((NºAsuntos!I18/NºAsuntos!G18)-Datos!BE18)/Datos!BE18),((NºAsuntos!I18/NºAsuntos!G18)-Datos!BE18)/Datos!BE18," - ")</f>
        <v>0.44631666898760614</v>
      </c>
      <c r="J18" s="860">
        <f>IF(ISNUMBER((('Resol  Asuntos'!D18/NºAsuntos!G18)-Datos!BF18)/Datos!BF18),(('Resol  Asuntos'!D18/NºAsuntos!G18)-Datos!BF18)/Datos!BF18," - ")</f>
        <v>-0.23493412052703577</v>
      </c>
      <c r="K18" s="860">
        <f>IF(ISNUMBER((((NºAsuntos!C18+NºAsuntos!E18)/NºAsuntos!G18)-Datos!BG18)/Datos!BG18),(((NºAsuntos!C18+NºAsuntos!E18)/NºAsuntos!G18)-Datos!BG18)/Datos!BG18," - ")</f>
        <v>0.21908809138579699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0.28929616902125493</v>
      </c>
      <c r="C19" s="805">
        <f>IF(ISNUMBER(
   IF(J_V="SI",(Datos!J19-Datos!T19)/Datos!T19,(Datos!J19+Datos!Z19-(Datos!T19+Datos!AH19))/(Datos!T19+Datos!AH19))
     ),IF(J_V="SI",(Datos!J19-Datos!T19)/Datos!T19,(Datos!J19+Datos!Z19-(Datos!T19+Datos!AH19))/(Datos!T19+Datos!AH19))," - ")</f>
        <v>6.0194174757281553E-2</v>
      </c>
      <c r="D19" s="805">
        <f>IF(ISNUMBER(
   IF(J_V="SI",(Datos!K19-Datos!U19)/Datos!U19,(Datos!K19+Datos!AA19-(Datos!U19+Datos!AI19))/(Datos!U19+Datos!AI19))
     ),IF(J_V="SI",(Datos!K19-Datos!U19)/Datos!U19,(Datos!K19+Datos!AA19-(Datos!U19+Datos!AI19))/(Datos!U19+Datos!AI19))," - ")</f>
        <v>5.6117957746478875E-2</v>
      </c>
      <c r="E19" s="805">
        <f>IF(ISNUMBER(
   IF(J_V="SI",(Datos!L19-Datos!V19)/Datos!V19,(Datos!L19+Datos!AB19-(Datos!V19+Datos!AJ19))/(Datos!V19+Datos!AJ19))
     ),IF(J_V="SI",(Datos!L19-Datos!V19)/Datos!V19,(Datos!L19+Datos!AB19-(Datos!V19+Datos!AJ19))/(Datos!V19+Datos!AJ19))," - ")</f>
        <v>0.27450980392156865</v>
      </c>
      <c r="F19" s="806">
        <f>IF(ISNUMBER((Datos!M19-Datos!W19)/Datos!W19),(Datos!M19-Datos!W19)/Datos!W19," - ")</f>
        <v>5.4719562243502051E-3</v>
      </c>
      <c r="G19" s="807">
        <f>IF(ISNUMBER((Datos!N19-Datos!X19)/Datos!X19),(Datos!N19-Datos!X19)/Datos!X19," - ")</f>
        <v>4.285157771717959E-3</v>
      </c>
      <c r="H19" s="808">
        <f>IF(ISNUMBER((Tasas!B19-Datos!BD19)/Datos!BD19),(Tasas!B19-Datos!BD19)/Datos!BD19," - ")</f>
        <v>-3.8447834442552897E-3</v>
      </c>
      <c r="I19" s="809">
        <f>IF(ISNUMBER((Tasas!C19-Datos!BE19)/Datos!BE19),(Tasas!C19-Datos!BE19)/Datos!BE19," - ")</f>
        <v>0.20678736174611548</v>
      </c>
      <c r="J19" s="810">
        <f>IF(ISNUMBER((Tasas!D19-Datos!BF19)/Datos!BF19),(Tasas!D19-Datos!BF19)/Datos!BF19," - ")</f>
        <v>-0.43095258500467781</v>
      </c>
      <c r="K19" s="810">
        <f>IF(ISNUMBER((Tasas!E19-Datos!BG19)/Datos!BG19),(Tasas!E19-Datos!BG19)/Datos!BG19," - ")</f>
        <v>0.13489726058834461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XQc0ohkBnw8ObxdueBGUHBxTJhabTSFCKWF9qIy4BIUNo7skh14CIzdTOUIMpjKxw22tmdiltXUAqpZZIdGCg==" saltValue="5BafZQD/wgDw5dB60QX+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MANRESA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0.63636363636363635</v>
      </c>
      <c r="C10" s="446">
        <f>IF(ISNUMBER(NºAsuntos!I10/NºAsuntos!G10),NºAsuntos!I10/NºAsuntos!G10," - ")</f>
        <v>3.5714285714285716</v>
      </c>
      <c r="D10" s="447">
        <f>IF(ISNUMBER('Resol  Asuntos'!D10/NºAsuntos!G10),'Resol  Asuntos'!D10/NºAsuntos!G10," - ")</f>
        <v>0.38095238095238093</v>
      </c>
      <c r="E10" s="448">
        <f>IF(ISNUMBER((NºAsuntos!C10+NºAsuntos!E10)/NºAsuntos!G10),(NºAsuntos!C10+NºAsuntos!E10)/NºAsuntos!G10," - ")</f>
        <v>4.5714285714285712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0.87778631821675634</v>
      </c>
      <c r="C12" s="446">
        <f>IF(ISNUMBER(NºAsuntos!I12/NºAsuntos!G12),NºAsuntos!I12/NºAsuntos!G12," - ")</f>
        <v>3.1755691768826622</v>
      </c>
      <c r="D12" s="447">
        <f>IF(ISNUMBER('Resol  Asuntos'!D12/NºAsuntos!G12),'Resol  Asuntos'!D12/NºAsuntos!G12," - ")</f>
        <v>0.2075306479859895</v>
      </c>
      <c r="E12" s="448">
        <f>IF(ISNUMBER((NºAsuntos!C12+NºAsuntos!E12)/NºAsuntos!G12),(NºAsuntos!C12+NºAsuntos!E12)/NºAsuntos!G12," - ")</f>
        <v>4.1760070052539406</v>
      </c>
      <c r="G12" s="466"/>
    </row>
    <row r="13" spans="1:7" ht="14.25" thickTop="1" thickBot="1">
      <c r="A13" s="851" t="str">
        <f>Datos!A13</f>
        <v>TOTAL</v>
      </c>
      <c r="B13" s="861">
        <f>IF(ISNUMBER(NºAsuntos!G13/NºAsuntos!E13),NºAsuntos!G13/NºAsuntos!E13," - ")</f>
        <v>0.8747628083491461</v>
      </c>
      <c r="C13" s="862">
        <f>IF(ISNUMBER(NºAsuntos!I13/NºAsuntos!G13),NºAsuntos!I13/NºAsuntos!G13," - ")</f>
        <v>3.179175704989154</v>
      </c>
      <c r="D13" s="863">
        <f>IF(ISNUMBER('Resol  Asuntos'!D13/NºAsuntos!G13),'Resol  Asuntos'!D13/NºAsuntos!G13," - ")</f>
        <v>0.20911062906724512</v>
      </c>
      <c r="E13" s="864">
        <f>IF(ISNUMBER((NºAsuntos!C13+NºAsuntos!E13)/NºAsuntos!G13),(NºAsuntos!C13+NºAsuntos!E13)/NºAsuntos!G13," - ")</f>
        <v>4.1796095444685468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0.8867778208607987</v>
      </c>
      <c r="C16" s="446">
        <f>IF(ISNUMBER(NºAsuntos!I16/NºAsuntos!G16),NºAsuntos!I16/NºAsuntos!G16," - ")</f>
        <v>1.3983384346305203</v>
      </c>
      <c r="D16" s="447">
        <f>IF(ISNUMBER('Resol  Asuntos'!D16/NºAsuntos!G16),'Resol  Asuntos'!D16/NºAsuntos!G16," - ")</f>
        <v>0.10275470048097946</v>
      </c>
      <c r="E16" s="448">
        <f>IF(ISNUMBER((NºAsuntos!C16+NºAsuntos!E16)/NºAsuntos!G16),(NºAsuntos!C16+NºAsuntos!E16)/NºAsuntos!G16," - ")</f>
        <v>2.3983384346305203</v>
      </c>
      <c r="G16" s="466"/>
    </row>
    <row r="17" spans="1:7" ht="13.5" thickBot="1">
      <c r="A17" s="405" t="str">
        <f>Datos!A17</f>
        <v>Jdos. Violencia contra la mujer</v>
      </c>
      <c r="B17" s="445">
        <f>IF(ISNUMBER(NºAsuntos!G17/NºAsuntos!E17),NºAsuntos!G17/NºAsuntos!E17," - ")</f>
        <v>0.84146341463414631</v>
      </c>
      <c r="C17" s="446">
        <f>IF(ISNUMBER(NºAsuntos!I17/NºAsuntos!G17),NºAsuntos!I17/NºAsuntos!G17," - ")</f>
        <v>1.2753623188405796</v>
      </c>
      <c r="D17" s="447">
        <f>IF(ISNUMBER('Resol  Asuntos'!D17/NºAsuntos!G17),'Resol  Asuntos'!D17/NºAsuntos!G17," - ")</f>
        <v>8.6956521739130432E-2</v>
      </c>
      <c r="E17" s="448">
        <f>IF(ISNUMBER((NºAsuntos!C17+NºAsuntos!E17)/NºAsuntos!G17),(NºAsuntos!C17+NºAsuntos!E17)/NºAsuntos!G17," - ")</f>
        <v>2.2753623188405796</v>
      </c>
      <c r="G17" s="466"/>
    </row>
    <row r="18" spans="1:7" ht="14.25" thickTop="1" thickBot="1">
      <c r="A18" s="851" t="str">
        <f>Datos!A18</f>
        <v>TOTAL</v>
      </c>
      <c r="B18" s="861">
        <f>IF(ISNUMBER(NºAsuntos!G18/NºAsuntos!E18),NºAsuntos!G18/NºAsuntos!E18," - ")</f>
        <v>0.88283185840707967</v>
      </c>
      <c r="C18" s="862">
        <f>IF(ISNUMBER(NºAsuntos!I18/NºAsuntos!G18),NºAsuntos!I18/NºAsuntos!G18," - ")</f>
        <v>1.38813151563753</v>
      </c>
      <c r="D18" s="865">
        <f>IF(ISNUMBER('Resol  Asuntos'!D18/NºAsuntos!G18),'Resol  Asuntos'!D18/NºAsuntos!G18," - ")</f>
        <v>0.10144346431435446</v>
      </c>
      <c r="E18" s="864">
        <f>IF(ISNUMBER((NºAsuntos!C18+NºAsuntos!E18)/NºAsuntos!G18),(NºAsuntos!C18+NºAsuntos!E18)/NºAsuntos!G18," - ")</f>
        <v>2.38813151563753</v>
      </c>
      <c r="G18" s="466"/>
    </row>
    <row r="19" spans="1:7" ht="15.75" customHeight="1" thickTop="1" thickBot="1">
      <c r="A19" s="796" t="str">
        <f>Datos!A19</f>
        <v>TOTAL JURISDICCIONES</v>
      </c>
      <c r="B19" s="811">
        <f>IF(ISNUMBER(NºAsuntos!G19/NºAsuntos!E19),NºAsuntos!G19/NºAsuntos!E19," - ")</f>
        <v>0.87893772893772892</v>
      </c>
      <c r="C19" s="812">
        <f>IF(ISNUMBER(NºAsuntos!I19/NºAsuntos!G19),NºAsuntos!I19/NºAsuntos!G19," - ")</f>
        <v>2.2483850802250469</v>
      </c>
      <c r="D19" s="813">
        <f>IF(ISNUMBER('Resol  Asuntos'!D19/NºAsuntos!G19),'Resol  Asuntos'!D19/NºAsuntos!G19," - ")</f>
        <v>0.1531569076891019</v>
      </c>
      <c r="E19" s="814">
        <f>IF(ISNUMBER((NºAsuntos!C19+NºAsuntos!E19)/NºAsuntos!G19),(NºAsuntos!C19+NºAsuntos!E19)/NºAsuntos!G19," - ")</f>
        <v>3.2485934569702022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r6AzSOs0vhsnUGCjy6vykwmkrMGTZ1/eMhjt4PRVGNwwVy97lEPbJ+5FN1Sstq/BVQAr9UyH/qCBOthQNkCuA==" saltValue="8/9oKRJp2EQc1gUcoDAK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MANRESA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63</v>
      </c>
      <c r="G10" s="336">
        <f>IF(ISNUMBER(Datos!I10),Datos!I10," - ")</f>
        <v>63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14</v>
      </c>
      <c r="Y10" s="337">
        <f t="shared" ref="Y10:Y12" si="0">SUM(W10:X10)</f>
        <v>35</v>
      </c>
      <c r="Z10" s="338" t="str">
        <f>IF(ISNUMBER(Datos!CC10),Datos!CC10," - ")</f>
        <v xml:space="preserve"> - </v>
      </c>
      <c r="AA10" s="335">
        <f>IF(ISNUMBER(Datos!L10),Datos!L10,"-")</f>
        <v>75</v>
      </c>
      <c r="AB10" s="337">
        <f>IF(ISNUMBER(Datos!R10),Datos!R10," - ")</f>
        <v>94</v>
      </c>
      <c r="AC10" s="337">
        <f t="shared" ref="AC10:AC12" si="1">IF(ISNUMBER(AA10+AB10),AA10+AB10," - ")</f>
        <v>169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0.63636363636363635</v>
      </c>
      <c r="AM10" s="263">
        <f>IF(ISNUMBER(((NºAsuntos!I10/NºAsuntos!G10)*11)/factor_trimestre),((NºAsuntos!I10/NºAsuntos!G10)*11)/factor_trimestre," - ")</f>
        <v>10.714285714285715</v>
      </c>
      <c r="AN10" s="247">
        <f>IF(ISNUMBER('Resol  Asuntos'!D10/NºAsuntos!G10),'Resol  Asuntos'!D10/NºAsuntos!G10," - ")</f>
        <v>0.38095238095238093</v>
      </c>
      <c r="AO10" s="248">
        <f>IF(ISNUMBER((NºAsuntos!C10+NºAsuntos!E10)/NºAsuntos!G10),(NºAsuntos!C10+NºAsuntos!E10)/NºAsuntos!G10," - ")</f>
        <v>4.5714285714285712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478</v>
      </c>
      <c r="Y12" s="337">
        <f t="shared" si="0"/>
        <v>478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474</v>
      </c>
      <c r="AJ12" s="232" t="str">
        <f>IF(ISNUMBER(Datos!BW12),Datos!BW12," - ")</f>
        <v xml:space="preserve"> - </v>
      </c>
      <c r="AK12" s="231" t="str">
        <f>IF(ISNUMBER(Datos!BX12),Datos!BX12," - ")</f>
        <v xml:space="preserve"> - </v>
      </c>
      <c r="AL12" s="246">
        <f>IF(ISNUMBER(NºAsuntos!G12/NºAsuntos!E12),NºAsuntos!G12/NºAsuntos!E12," - ")</f>
        <v>0.87778631821675634</v>
      </c>
      <c r="AM12" s="263">
        <f>IF(ISNUMBER(((NºAsuntos!I12/NºAsuntos!G12)*11)/factor_trimestre),((NºAsuntos!I12/NºAsuntos!G12)*11)/factor_trimestre," - ")</f>
        <v>9.526707530647986</v>
      </c>
      <c r="AN12" s="247">
        <f>IF(ISNUMBER('Resol  Asuntos'!D12/NºAsuntos!G12),'Resol  Asuntos'!D12/NºAsuntos!G12," - ")</f>
        <v>0.2075306479859895</v>
      </c>
      <c r="AO12" s="248">
        <f>IF(ISNUMBER((NºAsuntos!C12+NºAsuntos!E12)/NºAsuntos!G12),(NºAsuntos!C12+NºAsuntos!E12)/NºAsuntos!G12," - ")</f>
        <v>4.1760070052539406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63</v>
      </c>
      <c r="G13" s="869">
        <f t="shared" si="3"/>
        <v>63</v>
      </c>
      <c r="H13" s="868">
        <f t="shared" si="3"/>
        <v>0</v>
      </c>
      <c r="I13" s="870">
        <f t="shared" si="3"/>
        <v>0</v>
      </c>
      <c r="J13" s="870">
        <f t="shared" si="3"/>
        <v>0</v>
      </c>
      <c r="K13" s="870">
        <f t="shared" si="3"/>
        <v>0</v>
      </c>
      <c r="L13" s="870">
        <f t="shared" si="3"/>
        <v>662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492</v>
      </c>
      <c r="Y13" s="871">
        <f t="shared" si="4"/>
        <v>513</v>
      </c>
      <c r="Z13" s="871">
        <f t="shared" si="4"/>
        <v>0</v>
      </c>
      <c r="AA13" s="871">
        <f t="shared" si="4"/>
        <v>75</v>
      </c>
      <c r="AB13" s="871">
        <f t="shared" si="4"/>
        <v>9489</v>
      </c>
      <c r="AC13" s="871">
        <f t="shared" si="4"/>
        <v>169</v>
      </c>
      <c r="AD13" s="871">
        <f t="shared" si="4"/>
        <v>0</v>
      </c>
      <c r="AE13" s="875">
        <f t="shared" si="4"/>
        <v>0</v>
      </c>
      <c r="AF13" s="868">
        <f t="shared" si="4"/>
        <v>0</v>
      </c>
      <c r="AG13" s="876">
        <f t="shared" si="4"/>
        <v>0</v>
      </c>
      <c r="AH13" s="873">
        <f t="shared" si="4"/>
        <v>0</v>
      </c>
      <c r="AI13" s="868">
        <f t="shared" si="4"/>
        <v>482</v>
      </c>
      <c r="AJ13" s="870">
        <f t="shared" si="4"/>
        <v>0</v>
      </c>
      <c r="AK13" s="873">
        <f>SUBTOTAL(9,AK9:AK12)</f>
        <v>0</v>
      </c>
      <c r="AL13" s="877">
        <f>IF(ISNUMBER(NºAsuntos!G13/NºAsuntos!E13),NºAsuntos!G13/NºAsuntos!E13," - ")</f>
        <v>0.8747628083491461</v>
      </c>
      <c r="AM13" s="877">
        <f>IF(ISNUMBER(((NºAsuntos!I13/NºAsuntos!G13)*11)/factor_trimestre),((NºAsuntos!I13/NºAsuntos!G13)*11)/factor_trimestre," - ")</f>
        <v>9.5375271149674621</v>
      </c>
      <c r="AN13" s="878">
        <f>IF(ISNUMBER('Resol  Asuntos'!D13/NºAsuntos!G13),'Resol  Asuntos'!D13/NºAsuntos!G13," - ")</f>
        <v>0.20911062906724512</v>
      </c>
      <c r="AO13" s="879">
        <f>IF(ISNUMBER((NºAsuntos!C13+NºAsuntos!E13)/NºAsuntos!G13),(NºAsuntos!C13+NºAsuntos!E13)/NºAsuntos!G13," - ")</f>
        <v>4.1796095444685468</v>
      </c>
      <c r="AP13" s="880" t="str">
        <f t="shared" si="2"/>
        <v xml:space="preserve"> - </v>
      </c>
      <c r="AQ13" s="880">
        <f>IF(ISNUMBER((H13-W13+K13)/(F13)),(H13-W13+K13)/(F13)," - ")</f>
        <v>-0.33333333333333331</v>
      </c>
      <c r="AR13" s="881">
        <f>IF(ISNUMBER((Datos!P13-Datos!Q13)/(Datos!R13-Datos!P13+Datos!Q13)),(Datos!P13-Datos!Q13)/(Datos!R13-Datos!P13+Datos!Q13)," - ")</f>
        <v>1.8242300676038201E-2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2906</v>
      </c>
      <c r="G16" s="336">
        <f>IF(ISNUMBER(IF(D_I="SI",Datos!I16,Datos!I16+Datos!AC16)),IF(D_I="SI",Datos!I16,Datos!I16+Datos!AC16)," - ")</f>
        <v>2906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2287</v>
      </c>
      <c r="X16" s="229">
        <f>IF(ISNUMBER(Datos!Q16),Datos!Q16," - ")</f>
        <v>47</v>
      </c>
      <c r="Y16" s="337">
        <f t="shared" ref="Y16:Y17" si="7">SUM(W16:X16)</f>
        <v>2334</v>
      </c>
      <c r="Z16" s="338" t="str">
        <f>IF(ISNUMBER(Datos!CC16),Datos!CC16," - ")</f>
        <v xml:space="preserve"> - </v>
      </c>
      <c r="AA16" s="335">
        <f>IF(ISNUMBER(IF(D_I="SI",Datos!L16,Datos!L16+Datos!AF16)),IF(D_I="SI",Datos!L16,Datos!L16+Datos!AF16)," - ")</f>
        <v>3198</v>
      </c>
      <c r="AB16" s="337">
        <f>IF(ISNUMBER(Datos!R16),Datos!R16," - ")</f>
        <v>326</v>
      </c>
      <c r="AC16" s="337">
        <f t="shared" si="6"/>
        <v>3524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235</v>
      </c>
      <c r="AJ16" s="234" t="str">
        <f>IF(ISNUMBER(Datos!BW16),Datos!BW16," - ")</f>
        <v xml:space="preserve"> - </v>
      </c>
      <c r="AK16" s="235" t="str">
        <f>IF(ISNUMBER(Datos!BX16),Datos!BX16," - ")</f>
        <v xml:space="preserve"> - </v>
      </c>
      <c r="AL16" s="246">
        <f>IF(ISNUMBER(NºAsuntos!G16/NºAsuntos!E16),NºAsuntos!G16/NºAsuntos!E16," - ")</f>
        <v>0.8867778208607987</v>
      </c>
      <c r="AM16" s="263">
        <f>IF(ISNUMBER(((NºAsuntos!I16/NºAsuntos!G16)*11)/factor_trimestre),((NºAsuntos!I16/NºAsuntos!G16)*11)/factor_trimestre," - ")</f>
        <v>4.1950153038915614</v>
      </c>
      <c r="AN16" s="247">
        <f>IF(ISNUMBER('Resol  Asuntos'!D16/NºAsuntos!G16),'Resol  Asuntos'!D16/NºAsuntos!G16," - ")</f>
        <v>0.10275470048097946</v>
      </c>
      <c r="AO16" s="248">
        <f>IF(ISNUMBER((NºAsuntos!C16+NºAsuntos!E16)/NºAsuntos!G16),(NºAsuntos!C16+NºAsuntos!E16)/NºAsuntos!G16," - ")</f>
        <v>2.3983384346305203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207</v>
      </c>
      <c r="X17" s="229">
        <f>IF(ISNUMBER(Datos!Q17),Datos!Q17," - ")</f>
        <v>1</v>
      </c>
      <c r="Y17" s="337">
        <f t="shared" si="7"/>
        <v>208</v>
      </c>
      <c r="Z17" s="338" t="str">
        <f>IF(ISNUMBER(Datos!CC17),Datos!CC17," - ")</f>
        <v xml:space="preserve"> - </v>
      </c>
      <c r="AA17" s="335">
        <f>IF(ISNUMBER(Datos!L17),Datos!L17,"-")</f>
        <v>264</v>
      </c>
      <c r="AB17" s="337">
        <f>IF(ISNUMBER(Datos!R17),Datos!R17," - ")</f>
        <v>6</v>
      </c>
      <c r="AC17" s="337">
        <f t="shared" si="6"/>
        <v>270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0.84146341463414631</v>
      </c>
      <c r="AM17" s="263">
        <f>IF(ISNUMBER(((NºAsuntos!I17/NºAsuntos!G17)*11)/factor_trimestre),((NºAsuntos!I17/NºAsuntos!G17)*11)/factor_trimestre," - ")</f>
        <v>3.8260869565217388</v>
      </c>
      <c r="AN17" s="247">
        <f>IF(ISNUMBER('Resol  Asuntos'!D17/NºAsuntos!G17),'Resol  Asuntos'!D17/NºAsuntos!G17," - ")</f>
        <v>8.6956521739130432E-2</v>
      </c>
      <c r="AO17" s="248">
        <f>IF(ISNUMBER((NºAsuntos!C17+NºAsuntos!E17)/NºAsuntos!G17),(NºAsuntos!C17+NºAsuntos!E17)/NºAsuntos!G17," - ")</f>
        <v>2.2753623188405796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2906</v>
      </c>
      <c r="G18" s="869">
        <f>SUBTOTAL(9,G15:G17)</f>
        <v>3131</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2494</v>
      </c>
      <c r="X18" s="870">
        <f t="shared" si="11"/>
        <v>48</v>
      </c>
      <c r="Y18" s="871">
        <f t="shared" si="11"/>
        <v>2542</v>
      </c>
      <c r="Z18" s="871">
        <f t="shared" si="11"/>
        <v>0</v>
      </c>
      <c r="AA18" s="871">
        <f t="shared" si="11"/>
        <v>3462</v>
      </c>
      <c r="AB18" s="871">
        <f t="shared" si="11"/>
        <v>332</v>
      </c>
      <c r="AC18" s="871">
        <f t="shared" si="11"/>
        <v>3794</v>
      </c>
      <c r="AD18" s="871">
        <f t="shared" si="11"/>
        <v>0</v>
      </c>
      <c r="AE18" s="875">
        <f t="shared" si="11"/>
        <v>0</v>
      </c>
      <c r="AF18" s="868">
        <f t="shared" si="11"/>
        <v>0</v>
      </c>
      <c r="AG18" s="876">
        <f t="shared" si="11"/>
        <v>0</v>
      </c>
      <c r="AH18" s="873">
        <f t="shared" si="11"/>
        <v>0</v>
      </c>
      <c r="AI18" s="868">
        <f t="shared" si="11"/>
        <v>253</v>
      </c>
      <c r="AJ18" s="870">
        <f t="shared" si="11"/>
        <v>0</v>
      </c>
      <c r="AK18" s="873">
        <f t="shared" si="11"/>
        <v>0</v>
      </c>
      <c r="AL18" s="877">
        <f>IF(ISNUMBER(NºAsuntos!G18/NºAsuntos!E18),NºAsuntos!G18/NºAsuntos!E18," - ")</f>
        <v>0.88283185840707967</v>
      </c>
      <c r="AM18" s="877">
        <f>IF(ISNUMBER(((NºAsuntos!I18/NºAsuntos!G18)*11)/factor_trimestre),((NºAsuntos!I18/NºAsuntos!G18)*11)/factor_trimestre," - ")</f>
        <v>4.1643945469125905</v>
      </c>
      <c r="AN18" s="878">
        <f>IF(ISNUMBER('Resol  Asuntos'!D18/NºAsuntos!G18),'Resol  Asuntos'!D18/NºAsuntos!G18," - ")</f>
        <v>0.10144346431435446</v>
      </c>
      <c r="AO18" s="879">
        <f>IF(ISNUMBER((NºAsuntos!C18+NºAsuntos!E18)/NºAsuntos!G18),(NºAsuntos!C18+NºAsuntos!E18)/NºAsuntos!G18," - ")</f>
        <v>2.38813151563753</v>
      </c>
      <c r="AP18" s="880" t="str">
        <f t="shared" si="2"/>
        <v xml:space="preserve"> - </v>
      </c>
      <c r="AQ18" s="880">
        <f>IF(ISNUMBER((H18-W18+K18)/(F18)),(H18-W18+K18)/(F18)," - ")</f>
        <v>-0.85822436338609775</v>
      </c>
      <c r="AR18" s="881">
        <f>IF(ISNUMBER((Datos!P18-Datos!Q18)/(Datos!R18-Datos!P18+Datos!Q18)),(Datos!P18-Datos!Q18)/(Datos!R18-Datos!P18+Datos!Q18)," - ")</f>
        <v>-4.3227665706051875E-2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2969</v>
      </c>
      <c r="G19" s="824">
        <f t="shared" si="13"/>
        <v>3194</v>
      </c>
      <c r="H19" s="823">
        <f t="shared" si="13"/>
        <v>0</v>
      </c>
      <c r="I19" s="825">
        <f t="shared" si="13"/>
        <v>0</v>
      </c>
      <c r="J19" s="825">
        <f t="shared" si="13"/>
        <v>0</v>
      </c>
      <c r="K19" s="884">
        <f t="shared" si="13"/>
        <v>0</v>
      </c>
      <c r="L19" s="825">
        <f t="shared" si="13"/>
        <v>695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2515</v>
      </c>
      <c r="X19" s="824">
        <f t="shared" si="14"/>
        <v>540</v>
      </c>
      <c r="Y19" s="831">
        <f t="shared" si="14"/>
        <v>3055</v>
      </c>
      <c r="Z19" s="831">
        <f t="shared" si="14"/>
        <v>0</v>
      </c>
      <c r="AA19" s="831">
        <f t="shared" si="14"/>
        <v>3537</v>
      </c>
      <c r="AB19" s="831">
        <f t="shared" si="14"/>
        <v>9821</v>
      </c>
      <c r="AC19" s="831">
        <f t="shared" si="14"/>
        <v>3963</v>
      </c>
      <c r="AD19" s="831">
        <f t="shared" si="14"/>
        <v>0</v>
      </c>
      <c r="AE19" s="833">
        <f t="shared" si="14"/>
        <v>0</v>
      </c>
      <c r="AF19" s="834">
        <f t="shared" si="14"/>
        <v>0</v>
      </c>
      <c r="AG19" s="835">
        <f t="shared" si="14"/>
        <v>0</v>
      </c>
      <c r="AH19" s="833">
        <f t="shared" si="14"/>
        <v>0</v>
      </c>
      <c r="AI19" s="823">
        <f t="shared" si="14"/>
        <v>735</v>
      </c>
      <c r="AJ19" s="823">
        <f t="shared" si="14"/>
        <v>0</v>
      </c>
      <c r="AK19" s="833">
        <f t="shared" si="14"/>
        <v>0</v>
      </c>
      <c r="AL19" s="887">
        <f>IF(ISNUMBER(NºAsuntos!G19/NºAsuntos!E19),NºAsuntos!G19/NºAsuntos!E19," - ")</f>
        <v>0.87893772893772892</v>
      </c>
      <c r="AM19" s="888">
        <f>IF(ISNUMBER(((NºAsuntos!I19/NºAsuntos!G19)*11)/factor_trimestre),((NºAsuntos!I19/NºAsuntos!G19)*11)/factor_trimestre," - ")</f>
        <v>6.7451552406751407</v>
      </c>
      <c r="AN19" s="888">
        <f>IF(ISNUMBER('Resol  Asuntos'!D19/NºAsuntos!G19),'Resol  Asuntos'!D19/NºAsuntos!G19," - ")</f>
        <v>0.1531569076891019</v>
      </c>
      <c r="AO19" s="889">
        <f>IF(ISNUMBER((NºAsuntos!C19+NºAsuntos!E19)/NºAsuntos!G19),(NºAsuntos!C19+NºAsuntos!E19)/NºAsuntos!G19," - ")</f>
        <v>3.2485934569702022</v>
      </c>
      <c r="AP19" s="890" t="str">
        <f t="shared" si="2"/>
        <v xml:space="preserve"> - </v>
      </c>
      <c r="AQ19" s="891">
        <f>IF(OR(ISNUMBER(FIND("01",Criterios!A8,1)),ISNUMBER(FIND("02",Criterios!A8,1)),ISNUMBER(FIND("03",Criterios!A8,1)),ISNUMBER(FIND("04",Criterios!A8,1))),(I19-W19+K19)/(F19-K19),(H19-W19+K19)/(F19-K19))</f>
        <v>-0.84708656113169423</v>
      </c>
      <c r="AR19" s="892">
        <f>IF(ISNUMBER((Datos!P19-Datos!Q19)/(Datos!R19-Datos!P19+Datos!Q19)),(Datos!P19-Datos!Q19)/(Datos!R19-Datos!P19+Datos!Q19)," - ")</f>
        <v>1.6035588661286987E-2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1277.5999999999999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4.3011626335213133</v>
      </c>
      <c r="F21" s="255">
        <f>IF(ISNUMBER(STDEV(F8:F18)),STDEV(F8:F18),"-")</f>
        <v>1641.4068153061062</v>
      </c>
      <c r="G21" s="256">
        <f>IF(ISNUMBER(STDEV(G8:G18)),STDEV(G8:G18),"-")</f>
        <v>1592.5805474135366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1268.2621968662475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208.0730640904776</v>
      </c>
      <c r="AJ21" s="255">
        <f t="shared" si="18"/>
        <v>0</v>
      </c>
      <c r="AK21" s="257">
        <f t="shared" si="18"/>
        <v>0</v>
      </c>
      <c r="AL21" s="252">
        <f t="shared" si="18"/>
        <v>9.783868990295673E-2</v>
      </c>
      <c r="AM21" s="253">
        <f t="shared" si="18"/>
        <v>3.2434956086443476</v>
      </c>
      <c r="AN21" s="253">
        <f t="shared" si="18"/>
        <v>0.11204420874685635</v>
      </c>
      <c r="AO21" s="254">
        <f t="shared" si="18"/>
        <v>1.0813016366414097</v>
      </c>
      <c r="AP21" s="294" t="str">
        <f t="shared" si="18"/>
        <v>-</v>
      </c>
      <c r="AQ21" s="295">
        <f t="shared" si="18"/>
        <v>0.37115400673430166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Iqp5GriSDWFd1856vdHkbmOyYdanolZlJ9dx1g5B/9u5cY2PV0J2YDUEEWGWMeoQSDa0PVD7J0+YJen+RNhBQ==" saltValue="1fw7tTFkaeNspvs75aO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MANRESA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0.65</v>
      </c>
      <c r="F10" s="351">
        <f>IF(ISNUMBER((Datos!K10-Datos!U10)/Datos!U10),(Datos!K10-Datos!U10)/Datos!U10," - ")</f>
        <v>-0.16</v>
      </c>
      <c r="G10" s="352">
        <f>IF(ISNUMBER((Datos!L10-Datos!V10)/Datos!V10),(Datos!L10-Datos!V10)/Datos!V10," - ")</f>
        <v>0.29310344827586204</v>
      </c>
      <c r="H10" s="233">
        <f>IF(ISNUMBER((Datos!M10-Datos!W10)/Datos!W10),(Datos!M10-Datos!W10)/Datos!W10," - ")</f>
        <v>-0.46666666666666667</v>
      </c>
      <c r="I10" s="353">
        <f>IF(ISNUMBER((Tasas!C10-Datos!BE10)/Datos!BE10),(Tasas!C10-Datos!BE10)/Datos!BE10," - ")</f>
        <v>0.53940886699507407</v>
      </c>
      <c r="J10" s="352">
        <f>IF(ISNUMBER((Tasas!D10-Datos!BF10)/Datos!BF10),(Tasas!D10-Datos!BF10)/Datos!BF10," - ")</f>
        <v>-0.36507936507936511</v>
      </c>
      <c r="K10" s="354">
        <f>IF(ISNUMBER((Tasas!E10-Datos!BG10)/Datos!BG10),(Tasas!E10-Datos!BG10)/Datos!BG10," - ")</f>
        <v>0.37693631669535282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0.20610687022900764</v>
      </c>
      <c r="I12" s="353">
        <f>IF(ISNUMBER((Tasas!C12-Datos!BE12)/Datos!BE12),(Tasas!C12-Datos!BE12)/Datos!BE12," - ")</f>
        <v>8.973815410981642E-2</v>
      </c>
      <c r="J12" s="352">
        <f>IF(ISNUMBER((Tasas!D12-Datos!BF12)/Datos!BF12),(Tasas!D12-Datos!BF12)/Datos!BF12," - ")</f>
        <v>-0.51154085903410607</v>
      </c>
      <c r="K12" s="354">
        <f>IF(ISNUMBER((Tasas!E12-Datos!BG12)/Datos!BG12),(Tasas!E12-Datos!BG12)/Datos!BG12," - ")</f>
        <v>6.7053801759563131E-2</v>
      </c>
      <c r="M12" t="e">
        <f>IF(Monitorios="SI",Datos!CE12,0)</f>
        <v>#REF!</v>
      </c>
      <c r="N12" t="e">
        <f>IF(Monitorios="SI",Datos!CF12,0)</f>
        <v>#REF!</v>
      </c>
      <c r="O12" t="e">
        <f>IF(Monitorios="SI",Datos!CG12,0)</f>
        <v>#REF!</v>
      </c>
      <c r="P12" t="e">
        <f>IF(Monitorios="SI",Datos!CH12,0)</f>
        <v>#REF!</v>
      </c>
      <c r="Q12">
        <f>IF(J_V="SI",0,Datos!AG12)</f>
        <v>68</v>
      </c>
      <c r="R12">
        <f>IF(J_V="SI",0,Datos!AH12)</f>
        <v>202</v>
      </c>
      <c r="S12">
        <f>IF(J_V="SI",0,Datos!AI12)</f>
        <v>174</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0.18137254901960784</v>
      </c>
      <c r="I13" s="360">
        <f>IF(ISNUMBER((Tasas!C13-Datos!BE13)/Datos!BE13),(Tasas!C13-Datos!BE13)/Datos!BE13," - ")</f>
        <v>9.3619841076556173E-2</v>
      </c>
      <c r="J13" s="358">
        <f>IF(ISNUMBER((Tasas!D13-Datos!BF13)/Datos!BF13),(Tasas!D13-Datos!BF13)/Datos!BF13," - ")</f>
        <v>-0.51021643769583036</v>
      </c>
      <c r="K13" s="361">
        <f>IF(ISNUMBER((Tasas!E13-Datos!BG13)/Datos!BG13),(Tasas!E13-Datos!BG13)/Datos!BG13," - ")</f>
        <v>6.9898836641128878E-2</v>
      </c>
      <c r="M13" t="e">
        <f>IF(Monitorios="SI",Datos!CE13,0)</f>
        <v>#REF!</v>
      </c>
      <c r="N13" t="e">
        <f>IF(Monitorios="SI",Datos!CF13,0)</f>
        <v>#REF!</v>
      </c>
      <c r="O13" t="e">
        <f>IF(Monitorios="SI",Datos!CG13,0)</f>
        <v>#REF!</v>
      </c>
      <c r="P13" t="e">
        <f>IF(Monitorios="SI",Datos!CH13,0)</f>
        <v>#REF!</v>
      </c>
      <c r="Q13">
        <f>IF(J_V="SI",0,Datos!AG13)</f>
        <v>68</v>
      </c>
      <c r="R13">
        <f>IF(J_V="SI",0,Datos!AH13)</f>
        <v>202</v>
      </c>
      <c r="S13">
        <f>IF(J_V="SI",0,Datos!AI13)</f>
        <v>174</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0.38183547313361865</v>
      </c>
      <c r="E16" s="351">
        <f>IF(ISNUMBER(
   IF(D_I="SI",(Datos!J16-Datos!T16)/Datos!T16,(Datos!J16+Datos!AD16-(Datos!T16+Datos!AL16))/(Datos!T16+Datos!AL16))
     ),IF(D_I="SI",(Datos!J16-Datos!T16)/Datos!T16,(Datos!J16+Datos!AD16-(Datos!T16+Datos!AL16))/(Datos!T16+Datos!AL16))," - ")</f>
        <v>0.12081703607127336</v>
      </c>
      <c r="F16" s="351">
        <f>IF(ISNUMBER(
   IF(D_I="SI",(Datos!K16-Datos!U16)/Datos!U16,(Datos!K16+Datos!AE16-(Datos!U16+Datos!AM16))/(Datos!U16+Datos!AM16))
     ),IF(D_I="SI",(Datos!K16-Datos!U16)/Datos!U16,(Datos!K16+Datos!AE16-(Datos!U16+Datos!AM16))/(Datos!U16+Datos!AM16))," - ")</f>
        <v>3.3438770899231814E-2</v>
      </c>
      <c r="G16" s="352">
        <f>IF(ISNUMBER(
   IF(D_I="SI",(Datos!L16-Datos!V16)/Datos!V16,(Datos!L16+Datos!AF16-(Datos!V16+Datos!AN16))/(Datos!V16+Datos!AN16))
     ),IF(D_I="SI",(Datos!L16-Datos!V16)/Datos!V16,(Datos!L16+Datos!AF16-(Datos!V16+Datos!AN16))/(Datos!V16+Datos!AN16))," - ")</f>
        <v>0.45827633378932969</v>
      </c>
      <c r="H16" s="233">
        <f>IF(ISNUMBER((Datos!M16-Datos!W16)/Datos!W16),(Datos!M16-Datos!W16)/Datos!W16," - ")</f>
        <v>-0.22950819672131148</v>
      </c>
      <c r="I16" s="353">
        <f>IF(ISNUMBER((Tasas!C16-Datos!BE16)/Datos!BE16),(Tasas!C16-Datos!BE16)/Datos!BE16," - ")</f>
        <v>0.41109117913239474</v>
      </c>
      <c r="J16" s="352">
        <f>IF(ISNUMBER((Tasas!D16-Datos!BF16)/Datos!BF16),(Tasas!D16-Datos!BF16)/Datos!BF16," - ")</f>
        <v>-0.25443884536259831</v>
      </c>
      <c r="K16" s="354">
        <f>IF(ISNUMBER((Tasas!E16-Datos!BG16)/Datos!BG16),(Tasas!E16-Datos!BG16)/Datos!BG16," - ")</f>
        <v>0.20515961758341092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0.52027027027027029</v>
      </c>
      <c r="E17" s="351">
        <f>IF(ISNUMBER(
   IF(D_I="SI",(Datos!J17-Datos!T17)/Datos!T17,(Datos!J17+Datos!AD17-(Datos!T17+Datos!AL17))/(Datos!T17+Datos!AL17))
     ),IF(D_I="SI",(Datos!J17-Datos!T17)/Datos!T17,(Datos!J17+Datos!AD17-(Datos!T17+Datos!AL17))/(Datos!T17+Datos!AL17))," - ")</f>
        <v>0.11818181818181818</v>
      </c>
      <c r="F17" s="351">
        <f>IF(ISNUMBER(
   IF(D_I="SI",(Datos!K17-Datos!U17)/Datos!U17,(Datos!K17+Datos!AE17-(Datos!U17+Datos!AM17))/(Datos!U17+Datos!AM17))
     ),IF(D_I="SI",(Datos!K17-Datos!U17)/Datos!U17,(Datos!K17+Datos!AE17-(Datos!U17+Datos!AM17))/(Datos!U17+Datos!AM17))," - ")</f>
        <v>-7.1748878923766815E-2</v>
      </c>
      <c r="G17" s="352">
        <f>IF(ISNUMBER(
   IF(D_I="SI",(Datos!L17-Datos!V17)/Datos!V17,(Datos!L17+Datos!AF17-(Datos!V17+Datos!AN17))/(Datos!V17+Datos!AN17))
     ),IF(D_I="SI",(Datos!L17-Datos!V17)/Datos!V17,(Datos!L17+Datos!AF17-(Datos!V17+Datos!AN17))/(Datos!V17+Datos!AN17))," - ")</f>
        <v>0.82068965517241377</v>
      </c>
      <c r="H17" s="233">
        <f>IF(ISNUMBER((Datos!M17-Datos!W17)/Datos!W17),(Datos!M17-Datos!W17)/Datos!W17," - ")</f>
        <v>0</v>
      </c>
      <c r="I17" s="353">
        <f>IF(ISNUMBER((Tasas!C17-Datos!BE17)/Datos!BE17),(Tasas!C17-Datos!BE17)/Datos!BE17," - ")</f>
        <v>0.96141929035482243</v>
      </c>
      <c r="J17" s="352">
        <f>IF(ISNUMBER((Tasas!D17-Datos!BF17)/Datos!BF17),(Tasas!D17-Datos!BF17)/Datos!BF17," - ")</f>
        <v>7.7294685990338174E-2</v>
      </c>
      <c r="K17" s="354">
        <f>IF(ISNUMBER((Tasas!E17-Datos!BG17)/Datos!BG17),(Tasas!E17-Datos!BG17)/Datos!BG17," - ")</f>
        <v>0.37882010081915551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0.39093736117281208</v>
      </c>
      <c r="E18" s="357">
        <f>IF(ISNUMBER(
   IF(D_I="SI",(Datos!J18-Datos!T18)/Datos!T18,(Datos!J18+Datos!AD18-(Datos!T18+Datos!AL18))/(Datos!T18+Datos!AL18))
     ),IF(D_I="SI",(Datos!J18-Datos!T18)/Datos!T18,(Datos!J18+Datos!AD18-(Datos!T18+Datos!AL18))/(Datos!T18+Datos!AL18))," - ")</f>
        <v>0.12058706862356208</v>
      </c>
      <c r="F18" s="357">
        <f>IF(ISNUMBER(
   IF(D_I="SI",(Datos!K18-Datos!U18)/Datos!U18,(Datos!K18+Datos!AE18-(Datos!U18+Datos!AM18))/(Datos!U18+Datos!AM18))
     ),IF(D_I="SI",(Datos!K18-Datos!U18)/Datos!U18,(Datos!K18+Datos!AE18-(Datos!U18+Datos!AM18))/(Datos!U18+Datos!AM18))," - ")</f>
        <v>2.3809523809523808E-2</v>
      </c>
      <c r="G18" s="358">
        <f>IF(ISNUMBER(
   IF(D_I="SI",(Datos!L18-Datos!V18)/Datos!V18,(Datos!L18+Datos!AF18-(Datos!V18+Datos!AN18))/(Datos!V18+Datos!AN18))
     ),IF(D_I="SI",(Datos!L18-Datos!V18)/Datos!V18,(Datos!L18+Datos!AF18-(Datos!V18+Datos!AN18))/(Datos!V18+Datos!AN18))," - ")</f>
        <v>0.48075278015397777</v>
      </c>
      <c r="H18" s="359">
        <f>IF(ISNUMBER((Datos!M18-Datos!W18)/Datos!W18),(Datos!M18-Datos!W18)/Datos!W18," - ")</f>
        <v>-0.21671826625386997</v>
      </c>
      <c r="I18" s="360">
        <f>IF(ISNUMBER((Tasas!C18-Datos!BE18)/Datos!BE18),(Tasas!C18-Datos!BE18)/Datos!BE18," - ")</f>
        <v>0.44631666898760614</v>
      </c>
      <c r="J18" s="358">
        <f>IF(ISNUMBER((Tasas!D18-Datos!BF18)/Datos!BF18),(Tasas!D18-Datos!BF18)/Datos!BF18," - ")</f>
        <v>-0.23493412052703577</v>
      </c>
      <c r="K18" s="361">
        <f>IF(ISNUMBER((Tasas!E18-Datos!BG18)/Datos!BG18),(Tasas!E18-Datos!BG18)/Datos!BG18," - ")</f>
        <v>0.21908809138579699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0.28929616902125493</v>
      </c>
      <c r="E19" s="366">
        <f>IF(ISNUMBER(
   IF(J_V="SI",(Datos!J19-Datos!T19)/Datos!T19,(Datos!J19+Datos!Z19-(Datos!T19+Datos!AH19))/(Datos!T19+Datos!AH19))
     ),IF(J_V="SI",(Datos!J19-Datos!T19)/Datos!T19,(Datos!J19+Datos!Z19-(Datos!T19+Datos!AH19))/(Datos!T19+Datos!AH19))," - ")</f>
        <v>6.0194174757281553E-2</v>
      </c>
      <c r="F19" s="366">
        <f>IF(ISNUMBER(
   IF(J_V="SI",(Datos!K19-Datos!U19)/Datos!U19,(Datos!K19+Datos!AA19-(Datos!U19+Datos!AI19))/(Datos!U19+Datos!AI19))
     ),IF(J_V="SI",(Datos!K19-Datos!U19)/Datos!U19,(Datos!K19+Datos!AA19-(Datos!U19+Datos!AI19))/(Datos!U19+Datos!AI19))," - ")</f>
        <v>5.6117957746478875E-2</v>
      </c>
      <c r="G19" s="367">
        <f>IF(ISNUMBER(
   IF(J_V="SI",(Datos!L19-Datos!V19)/Datos!V19,(Datos!L19+Datos!AB19-(Datos!V19+Datos!AJ19))/(Datos!V19+Datos!AJ19))
     ),IF(J_V="SI",(Datos!L19-Datos!V19)/Datos!V19,(Datos!L19+Datos!AB19-(Datos!V19+Datos!AJ19))/(Datos!V19+Datos!AJ19))," - ")</f>
        <v>0.27450980392156865</v>
      </c>
      <c r="H19" s="368">
        <f>IF(ISNUMBER((Datos!M19-Datos!W19)/Datos!W19),(Datos!M19-Datos!W19)/Datos!W19," - ")</f>
        <v>5.4719562243502051E-3</v>
      </c>
      <c r="I19" s="365">
        <f>IF(ISNUMBER((Tasas!C19-Datos!BE19)/Datos!BE19),(Tasas!C19-Datos!BE19)/Datos!BE19," - ")</f>
        <v>0.20678736174611548</v>
      </c>
      <c r="J19" s="366">
        <f>IF(ISNUMBER((Tasas!D19-Datos!BF19)/Datos!BF19),(Tasas!D19-Datos!BF19)/Datos!BF19," - ")</f>
        <v>-0.43095258500467781</v>
      </c>
      <c r="K19" s="367">
        <f>IF(ISNUMBER((Tasas!E19-Datos!BG19)/Datos!BG19),(Tasas!E19-Datos!BG19)/Datos!BG19," - ")</f>
        <v>0.13489726058834461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0.22458954076099052</v>
      </c>
      <c r="E21" s="281">
        <f t="shared" si="1"/>
        <v>0.26507169190953811</v>
      </c>
      <c r="F21" s="281">
        <f t="shared" si="1"/>
        <v>9.0958475832400021E-2</v>
      </c>
      <c r="G21" s="282">
        <f t="shared" si="1"/>
        <v>0.22140597039620835</v>
      </c>
      <c r="H21" s="288">
        <f t="shared" si="1"/>
        <v>0.26335706283171234</v>
      </c>
      <c r="I21" s="280">
        <f t="shared" si="1"/>
        <v>0.32363078896179859</v>
      </c>
      <c r="J21" s="281">
        <f t="shared" si="1"/>
        <v>0.21992556959677412</v>
      </c>
      <c r="K21" s="282">
        <f t="shared" si="1"/>
        <v>0.13856064066027568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eL+k1Gud2Jpr4MFunxK1Wi+jCR32EEzq8Vj37nd63B/9VwNxFDgU7r8tnRlcJpjOrVnDuWEflrbHTOHH3juuA==" saltValue="Vel0QBf/87GD2AIJG+vx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